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3亞大人事室\6. 兼任助理(計畫人員)★教學助理\●計畫助理專區文件(網頁)\02保費試算\"/>
    </mc:Choice>
  </mc:AlternateContent>
  <xr:revisionPtr revIDLastSave="0" documentId="13_ncr:1_{5C4FB0D2-BF9E-4225-AC1E-47C17F00CBB0}" xr6:coauthVersionLast="36" xr6:coauthVersionMax="36" xr10:uidLastSave="{00000000-0000-0000-0000-000000000000}"/>
  <bookViews>
    <workbookView xWindow="0" yWindow="0" windowWidth="19200" windowHeight="11550" xr2:uid="{00000000-000D-0000-FFFF-FFFF00000000}"/>
  </bookViews>
  <sheets>
    <sheet name="試算表" sheetId="2" r:id="rId1"/>
    <sheet name="級距表" sheetId="1" state="hidden" r:id="rId2"/>
    <sheet name="選項" sheetId="3" state="hidden" r:id="rId3"/>
  </sheets>
  <calcPr calcId="191029"/>
</workbook>
</file>

<file path=xl/calcChain.xml><?xml version="1.0" encoding="utf-8"?>
<calcChain xmlns="http://schemas.openxmlformats.org/spreadsheetml/2006/main">
  <c r="AB27" i="2" l="1"/>
  <c r="Z27" i="2"/>
  <c r="R23" i="2" l="1"/>
  <c r="R21" i="2"/>
  <c r="R17" i="2"/>
  <c r="N23" i="2"/>
  <c r="N21" i="2"/>
  <c r="N31" i="2" s="1"/>
  <c r="N17" i="2"/>
  <c r="F23" i="2"/>
  <c r="F21" i="2"/>
  <c r="F19" i="2"/>
  <c r="F17" i="2"/>
  <c r="B23" i="2"/>
  <c r="B21" i="2"/>
  <c r="B19" i="2"/>
  <c r="D29" i="2" s="1"/>
  <c r="B17" i="2"/>
  <c r="B31" i="2"/>
  <c r="R31" i="2" l="1"/>
  <c r="W16" i="2"/>
  <c r="W19" i="2" s="1"/>
  <c r="F31" i="2"/>
  <c r="K16" i="2"/>
  <c r="K19" i="2" l="1"/>
  <c r="J21" i="2"/>
  <c r="H29" i="2" s="1"/>
  <c r="F29" i="2" l="1"/>
  <c r="P31" i="2"/>
  <c r="H31" i="2"/>
  <c r="H27" i="2"/>
  <c r="T31" i="2"/>
  <c r="R27" i="2" l="1"/>
  <c r="R33" i="2" s="1"/>
  <c r="T27" i="2"/>
  <c r="T33" i="2" s="1"/>
  <c r="R36" i="2" s="1"/>
  <c r="N27" i="2"/>
  <c r="N33" i="2" s="1"/>
  <c r="P27" i="2"/>
  <c r="P33" i="2" s="1"/>
  <c r="N36" i="2" s="1"/>
  <c r="F27" i="2"/>
  <c r="F33" i="2" l="1"/>
  <c r="H33" i="2"/>
  <c r="F36" i="2" s="1"/>
  <c r="B29" i="2" l="1"/>
  <c r="D27" i="2" l="1"/>
  <c r="Z19" i="2" l="1"/>
  <c r="AB19" i="2" l="1"/>
  <c r="AB21" i="2" s="1"/>
  <c r="Z21" i="2" l="1"/>
  <c r="AD21" i="2"/>
  <c r="D31" i="2"/>
  <c r="B27" i="2" l="1"/>
  <c r="Z31" i="2"/>
  <c r="AB31" i="2" l="1"/>
  <c r="Z33" i="2" l="1"/>
  <c r="AB33" i="2"/>
  <c r="Z36" i="2" s="1"/>
  <c r="AD13" i="2" l="1"/>
  <c r="AB13" i="2"/>
  <c r="B33" i="2" l="1"/>
  <c r="D33" i="2" l="1"/>
  <c r="B3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ASIA1027</author>
  </authors>
  <commentList>
    <comment ref="AB19" authorId="0" shapeId="0" xr:uid="{DC51EECF-5E60-4942-A244-D0013CD48C99}">
      <text>
        <r>
          <rPr>
            <b/>
            <sz val="9"/>
            <color indexed="81"/>
            <rFont val="細明體"/>
            <family val="3"/>
            <charset val="136"/>
          </rPr>
          <t>總薪資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聘期天數</t>
        </r>
        <r>
          <rPr>
            <b/>
            <sz val="9"/>
            <color indexed="81"/>
            <rFont val="Tahoma"/>
            <family val="2"/>
          </rPr>
          <t>*30</t>
        </r>
        <r>
          <rPr>
            <b/>
            <sz val="9"/>
            <color indexed="81"/>
            <rFont val="細明體"/>
            <family val="3"/>
            <charset val="136"/>
          </rPr>
          <t>天</t>
        </r>
      </text>
    </comment>
  </commentList>
</comments>
</file>

<file path=xl/sharedStrings.xml><?xml version="1.0" encoding="utf-8"?>
<sst xmlns="http://schemas.openxmlformats.org/spreadsheetml/2006/main" count="153" uniqueCount="74">
  <si>
    <t>是</t>
    <phoneticPr fontId="2" type="noConversion"/>
  </si>
  <si>
    <t>否</t>
  </si>
  <si>
    <t>否</t>
    <phoneticPr fontId="2" type="noConversion"/>
  </si>
  <si>
    <t>個人分擔比例：</t>
    <phoneticPr fontId="2" type="noConversion"/>
  </si>
  <si>
    <t>機關分擔比例：</t>
    <phoneticPr fontId="2" type="noConversion"/>
  </si>
  <si>
    <t>※基本工資規定※</t>
    <phoneticPr fontId="2" type="noConversion"/>
  </si>
  <si>
    <t>※勞保費率※</t>
    <phoneticPr fontId="2" type="noConversion"/>
  </si>
  <si>
    <t>※健保費率※</t>
    <phoneticPr fontId="2" type="noConversion"/>
  </si>
  <si>
    <t>費率：</t>
    <phoneticPr fontId="2" type="noConversion"/>
  </si>
  <si>
    <t>勞保級距：</t>
    <phoneticPr fontId="2" type="noConversion"/>
  </si>
  <si>
    <t>健保級距：</t>
    <phoneticPr fontId="2" type="noConversion"/>
  </si>
  <si>
    <t>勞退級距：</t>
    <phoneticPr fontId="2" type="noConversion"/>
  </si>
  <si>
    <t>個人負擔：</t>
    <phoneticPr fontId="2" type="noConversion"/>
  </si>
  <si>
    <t>勞保：</t>
    <phoneticPr fontId="2" type="noConversion"/>
  </si>
  <si>
    <t>健保：</t>
    <phoneticPr fontId="2" type="noConversion"/>
  </si>
  <si>
    <t>勞退：</t>
    <phoneticPr fontId="2" type="noConversion"/>
  </si>
  <si>
    <t>單位負擔：</t>
    <phoneticPr fontId="2" type="noConversion"/>
  </si>
  <si>
    <t>*月薪：</t>
    <phoneticPr fontId="2" type="noConversion"/>
  </si>
  <si>
    <t>*是否自提勞退：</t>
    <phoneticPr fontId="2" type="noConversion"/>
  </si>
  <si>
    <t>聘任該員總成本合計：</t>
    <phoneticPr fontId="2" type="noConversion"/>
  </si>
  <si>
    <t>臨時工(時薪/日薪制)</t>
    <phoneticPr fontId="2" type="noConversion"/>
  </si>
  <si>
    <t>時薪</t>
    <phoneticPr fontId="2" type="noConversion"/>
  </si>
  <si>
    <t>日薪</t>
    <phoneticPr fontId="2" type="noConversion"/>
  </si>
  <si>
    <t>*薪制：</t>
    <phoneticPr fontId="2" type="noConversion"/>
  </si>
  <si>
    <t>至</t>
    <phoneticPr fontId="2" type="noConversion"/>
  </si>
  <si>
    <t>個人分擔：20%</t>
    <phoneticPr fontId="2" type="noConversion"/>
  </si>
  <si>
    <t>機關分擔：70%</t>
    <phoneticPr fontId="2" type="noConversion"/>
  </si>
  <si>
    <t>投保薪資：</t>
    <phoneticPr fontId="2" type="noConversion"/>
  </si>
  <si>
    <r>
      <t>※</t>
    </r>
    <r>
      <rPr>
        <b/>
        <sz val="12"/>
        <color rgb="FF0000FF"/>
        <rFont val="微軟正黑體"/>
        <family val="2"/>
        <charset val="136"/>
      </rPr>
      <t>藍色框處</t>
    </r>
    <r>
      <rPr>
        <b/>
        <sz val="12"/>
        <color rgb="FFFF0000"/>
        <rFont val="微軟正黑體"/>
        <family val="2"/>
        <charset val="136"/>
      </rPr>
      <t>請依實際聘用情形自行選擇or填入</t>
    </r>
    <phoneticPr fontId="2" type="noConversion"/>
  </si>
  <si>
    <t>薪資總計：</t>
    <phoneticPr fontId="2" type="noConversion"/>
  </si>
  <si>
    <r>
      <rPr>
        <b/>
        <u/>
        <sz val="12"/>
        <color rgb="FFFF0000"/>
        <rFont val="微軟正黑體"/>
        <family val="2"/>
        <charset val="136"/>
      </rPr>
      <t>每月</t>
    </r>
    <r>
      <rPr>
        <b/>
        <sz val="12"/>
        <rFont val="微軟正黑體"/>
        <family val="2"/>
        <charset val="136"/>
      </rPr>
      <t>聘任該員總成本合計：</t>
    </r>
    <phoneticPr fontId="2" type="noConversion"/>
  </si>
  <si>
    <t>時薪</t>
  </si>
  <si>
    <t>職保級距：</t>
    <phoneticPr fontId="2" type="noConversion"/>
  </si>
  <si>
    <t>亞洲大學勞健保及勞退費試算表(113年度)</t>
    <phoneticPr fontId="2" type="noConversion"/>
  </si>
  <si>
    <r>
      <t>自中華民國</t>
    </r>
    <r>
      <rPr>
        <b/>
        <sz val="12"/>
        <color rgb="FF0000FF"/>
        <rFont val="微軟正黑體"/>
        <family val="2"/>
        <charset val="136"/>
      </rPr>
      <t>113.1.1</t>
    </r>
    <r>
      <rPr>
        <b/>
        <sz val="12"/>
        <rFont val="微軟正黑體"/>
        <family val="2"/>
        <charset val="136"/>
      </rPr>
      <t>起生效：</t>
    </r>
    <phoneticPr fontId="2" type="noConversion"/>
  </si>
  <si>
    <r>
      <t>一、每小時基本工資為新臺幣</t>
    </r>
    <r>
      <rPr>
        <b/>
        <sz val="12"/>
        <color rgb="FF0000FF"/>
        <rFont val="微軟正黑體"/>
        <family val="2"/>
        <charset val="136"/>
      </rPr>
      <t>183</t>
    </r>
    <r>
      <rPr>
        <b/>
        <sz val="12"/>
        <rFont val="微軟正黑體"/>
        <family val="2"/>
        <charset val="136"/>
      </rPr>
      <t>元</t>
    </r>
    <r>
      <rPr>
        <sz val="12"/>
        <rFont val="微軟正黑體"/>
        <family val="2"/>
        <charset val="136"/>
      </rPr>
      <t>。</t>
    </r>
    <phoneticPr fontId="2" type="noConversion"/>
  </si>
  <si>
    <r>
      <t>二、每月基本工資為新臺幣</t>
    </r>
    <r>
      <rPr>
        <b/>
        <sz val="12"/>
        <color rgb="FF0000FF"/>
        <rFont val="微軟正黑體"/>
        <family val="2"/>
        <charset val="136"/>
      </rPr>
      <t>27470</t>
    </r>
    <r>
      <rPr>
        <b/>
        <sz val="12"/>
        <rFont val="微軟正黑體"/>
        <family val="2"/>
        <charset val="136"/>
      </rPr>
      <t>元</t>
    </r>
    <r>
      <rPr>
        <sz val="12"/>
        <rFont val="微軟正黑體"/>
        <family val="2"/>
        <charset val="136"/>
      </rPr>
      <t>。</t>
    </r>
    <phoneticPr fontId="2" type="noConversion"/>
  </si>
  <si>
    <r>
      <t>專任人員(月薪制)-</t>
    </r>
    <r>
      <rPr>
        <b/>
        <u/>
        <sz val="15"/>
        <color rgb="FFFF0000"/>
        <rFont val="微軟正黑體"/>
        <family val="2"/>
        <charset val="136"/>
      </rPr>
      <t>全月</t>
    </r>
    <phoneticPr fontId="2" type="noConversion"/>
  </si>
  <si>
    <r>
      <t>專任人員(月薪制)-</t>
    </r>
    <r>
      <rPr>
        <b/>
        <u/>
        <sz val="15"/>
        <color rgb="FFFF0000"/>
        <rFont val="微軟正黑體"/>
        <family val="2"/>
        <charset val="136"/>
      </rPr>
      <t>不足月</t>
    </r>
    <phoneticPr fontId="2" type="noConversion"/>
  </si>
  <si>
    <r>
      <t>兼任人員(月薪制)-</t>
    </r>
    <r>
      <rPr>
        <b/>
        <u/>
        <sz val="15"/>
        <color rgb="FFFF0000"/>
        <rFont val="微軟正黑體"/>
        <family val="2"/>
        <charset val="136"/>
      </rPr>
      <t>不足月</t>
    </r>
    <phoneticPr fontId="2" type="noConversion"/>
  </si>
  <si>
    <r>
      <rPr>
        <b/>
        <sz val="16"/>
        <color theme="7" tint="-0.249977111117893"/>
        <rFont val="微軟正黑體"/>
        <family val="2"/>
        <charset val="136"/>
      </rPr>
      <t>兼任人員(月薪制)-</t>
    </r>
    <r>
      <rPr>
        <b/>
        <u/>
        <sz val="15"/>
        <color rgb="FFFF0000"/>
        <rFont val="微軟正黑體"/>
        <family val="2"/>
        <charset val="136"/>
      </rPr>
      <t>全月</t>
    </r>
    <phoneticPr fontId="2" type="noConversion"/>
  </si>
  <si>
    <t>1月</t>
    <phoneticPr fontId="2" type="noConversion"/>
  </si>
  <si>
    <t>2月</t>
    <phoneticPr fontId="2" type="noConversion"/>
  </si>
  <si>
    <t>3月</t>
    <phoneticPr fontId="2" type="noConversion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</si>
  <si>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</si>
  <si>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</si>
  <si>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</si>
  <si>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</si>
  <si>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</si>
  <si>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</si>
  <si>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</si>
  <si>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</si>
  <si>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</si>
  <si>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至</t>
    <phoneticPr fontId="2" type="noConversion"/>
  </si>
  <si>
    <t>*當月加保天數：</t>
    <phoneticPr fontId="2" type="noConversion"/>
  </si>
  <si>
    <r>
      <t>*</t>
    </r>
    <r>
      <rPr>
        <b/>
        <sz val="10"/>
        <rFont val="微軟正黑體"/>
        <family val="2"/>
        <charset val="136"/>
      </rPr>
      <t>當月</t>
    </r>
    <r>
      <rPr>
        <b/>
        <sz val="12"/>
        <color rgb="FFFF0000"/>
        <rFont val="微軟正黑體"/>
        <family val="2"/>
        <charset val="136"/>
      </rPr>
      <t>投保日期</t>
    </r>
    <r>
      <rPr>
        <b/>
        <sz val="10"/>
        <color rgb="FFFF0000"/>
        <rFont val="微軟正黑體"/>
        <family val="2"/>
        <charset val="136"/>
      </rPr>
      <t>：</t>
    </r>
    <phoneticPr fontId="2" type="noConversion"/>
  </si>
  <si>
    <t>天</t>
    <phoneticPr fontId="2" type="noConversion"/>
  </si>
  <si>
    <t>共</t>
    <phoneticPr fontId="2" type="noConversion"/>
  </si>
  <si>
    <t>*月底是否在保：</t>
    <phoneticPr fontId="2" type="noConversion"/>
  </si>
  <si>
    <t>小計：</t>
  </si>
  <si>
    <t>小計：</t>
    <phoneticPr fontId="2" type="noConversion"/>
  </si>
  <si>
    <t xml:space="preserve">
※勞保加保天數，以每月30天計算。
Ex.8/20-8/31，僅計11天。
※健保以當月最末日在保之投保單位，計收保險對象全月保險費。</t>
    <phoneticPr fontId="2" type="noConversion"/>
  </si>
  <si>
    <t xml:space="preserve">
※勞保加保天數，以每月30天計算。
Ex.8/20-8/31，僅計11天。</t>
    <phoneticPr fontId="2" type="noConversion"/>
  </si>
  <si>
    <t>勞保級距</t>
    <phoneticPr fontId="2" type="noConversion"/>
  </si>
  <si>
    <t>健保級距</t>
    <phoneticPr fontId="2" type="noConversion"/>
  </si>
  <si>
    <t>勞退級距</t>
    <phoneticPr fontId="2" type="noConversion"/>
  </si>
  <si>
    <t>職保級距</t>
    <phoneticPr fontId="2" type="noConversion"/>
  </si>
  <si>
    <r>
      <t>*聘期</t>
    </r>
    <r>
      <rPr>
        <b/>
        <sz val="12"/>
        <rFont val="微軟正黑體"/>
        <family val="2"/>
        <charset val="136"/>
      </rPr>
      <t>(請依範例格式2024/2/1)</t>
    </r>
    <phoneticPr fontId="2" type="noConversion"/>
  </si>
  <si>
    <t>※本表僅提供保費試算，實際保費金額須依每月帳單及分攤表為準。</t>
    <phoneticPr fontId="2" type="noConversion"/>
  </si>
  <si>
    <t>1月</t>
  </si>
  <si>
    <t>普通保險事故：</t>
    <phoneticPr fontId="2" type="noConversion"/>
  </si>
  <si>
    <t>就業保險：</t>
    <phoneticPr fontId="2" type="noConversion"/>
  </si>
  <si>
    <t>職業災害：</t>
    <phoneticPr fontId="2" type="noConversion"/>
  </si>
  <si>
    <t>※健保異動：自113年1月1日起調整平均眷口數為0.56人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</si>
</sst>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76" formatCode="_-* #,##0_-;\-* #,##0_-;_-* &quot;-&quot;??_-;_-@_-"/>
    <numFmt numFmtId="177" formatCode="0.0%"/>
    <numFmt numFmtId="178" formatCode="0_);[Red]\(0\)"/>
    <numFmt numFmtId="179" formatCode="0&quot;日&quot;"/>
    <numFmt numFmtId="180" formatCode="0_ ;[Red]\-0\ "/>
  </numFmts>
  <fonts count="3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20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2"/>
      <color rgb="FF0000FF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name val="新細明體"/>
      <family val="1"/>
      <charset val="136"/>
      <scheme val="minor"/>
    </font>
    <font>
      <b/>
      <sz val="12"/>
      <color rgb="FFFF0000"/>
      <name val="微軟正黑體"/>
      <family val="2"/>
      <charset val="136"/>
    </font>
    <font>
      <sz val="16"/>
      <color theme="1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6"/>
      <color rgb="FF009999"/>
      <name val="微軟正黑體"/>
      <family val="2"/>
      <charset val="136"/>
    </font>
    <font>
      <sz val="12"/>
      <name val="微軟正黑體"/>
      <family val="2"/>
      <charset val="136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b/>
      <u/>
      <sz val="12"/>
      <color rgb="FFFF000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u/>
      <sz val="15"/>
      <color rgb="FFFF0000"/>
      <name val="微軟正黑體"/>
      <family val="2"/>
      <charset val="136"/>
    </font>
    <font>
      <b/>
      <sz val="16"/>
      <color theme="9" tint="-0.249977111117893"/>
      <name val="微軟正黑體"/>
      <family val="2"/>
      <charset val="136"/>
    </font>
    <font>
      <b/>
      <sz val="16"/>
      <color theme="7" tint="-0.249977111117893"/>
      <name val="微軟正黑體"/>
      <family val="2"/>
      <charset val="136"/>
    </font>
    <font>
      <b/>
      <sz val="16"/>
      <color theme="6" tint="-0.499984740745262"/>
      <name val="微軟正黑體"/>
      <family val="2"/>
      <charset val="136"/>
    </font>
    <font>
      <b/>
      <sz val="10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sz val="11"/>
      <color theme="0" tint="-0.499984740745262"/>
      <name val="微軟正黑體"/>
      <family val="2"/>
      <charset val="136"/>
    </font>
    <font>
      <u val="singleAccounting"/>
      <sz val="12"/>
      <color theme="1"/>
      <name val="微軟正黑體"/>
      <family val="2"/>
      <charset val="136"/>
    </font>
    <font>
      <b/>
      <sz val="12"/>
      <color rgb="FF00B050"/>
      <name val="微軟正黑體"/>
      <family val="2"/>
      <charset val="136"/>
    </font>
  </fonts>
  <fills count="1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DE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/>
      <right/>
      <top style="thick">
        <color rgb="FF0000FF"/>
      </top>
      <bottom style="thick">
        <color rgb="FF0000FF"/>
      </bottom>
      <diagonal/>
    </border>
    <border>
      <left style="medium">
        <color indexed="64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 style="medium">
        <color indexed="64"/>
      </right>
      <top style="thick">
        <color rgb="FF0000FF"/>
      </top>
      <bottom style="thick">
        <color rgb="FF0000FF"/>
      </bottom>
      <diagonal/>
    </border>
  </borders>
  <cellStyleXfs count="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176" fontId="0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9" fillId="0" borderId="0" xfId="1" applyNumberFormat="1" applyFont="1" applyFill="1" applyBorder="1" applyAlignment="1">
      <alignment horizontal="center" vertical="center"/>
    </xf>
    <xf numFmtId="176" fontId="0" fillId="0" borderId="0" xfId="1" applyNumberFormat="1" applyFont="1" applyFill="1" applyBorder="1">
      <alignment vertical="center"/>
    </xf>
    <xf numFmtId="0" fontId="0" fillId="0" borderId="0" xfId="0" applyFill="1" applyBorder="1">
      <alignment vertical="center"/>
    </xf>
    <xf numFmtId="176" fontId="9" fillId="0" borderId="0" xfId="1" applyNumberFormat="1" applyFont="1" applyFill="1" applyBorder="1">
      <alignment vertical="center"/>
    </xf>
    <xf numFmtId="176" fontId="4" fillId="0" borderId="0" xfId="1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3" fontId="0" fillId="0" borderId="0" xfId="0" applyNumberFormat="1" applyFill="1" applyBorder="1">
      <alignment vertical="center"/>
    </xf>
    <xf numFmtId="176" fontId="6" fillId="0" borderId="0" xfId="1" applyNumberFormat="1" applyFont="1" applyFill="1" applyBorder="1">
      <alignment vertical="center"/>
    </xf>
    <xf numFmtId="176" fontId="15" fillId="0" borderId="0" xfId="1" applyNumberFormat="1" applyFont="1" applyFill="1" applyBorder="1">
      <alignment vertical="center"/>
    </xf>
    <xf numFmtId="176" fontId="28" fillId="0" borderId="0" xfId="1" applyNumberFormat="1" applyFont="1" applyFill="1" applyBorder="1" applyAlignment="1">
      <alignment horizontal="center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0" fontId="6" fillId="0" borderId="0" xfId="0" applyFo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15" fillId="0" borderId="5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4" xfId="0" applyNumberFormat="1" applyFont="1" applyBorder="1" applyAlignment="1" applyProtection="1">
      <alignment horizontal="left" vertical="center"/>
    </xf>
    <xf numFmtId="0" fontId="6" fillId="0" borderId="0" xfId="0" applyNumberFormat="1" applyFont="1" applyBorder="1" applyAlignment="1" applyProtection="1">
      <alignment horizontal="left" vertical="center"/>
    </xf>
    <xf numFmtId="0" fontId="6" fillId="0" borderId="0" xfId="0" applyNumberFormat="1" applyFont="1" applyBorder="1" applyProtection="1">
      <alignment vertical="center"/>
    </xf>
    <xf numFmtId="0" fontId="6" fillId="0" borderId="5" xfId="0" applyNumberFormat="1" applyFont="1" applyBorder="1" applyAlignment="1" applyProtection="1">
      <alignment horizontal="left" vertical="center"/>
    </xf>
    <xf numFmtId="0" fontId="6" fillId="6" borderId="4" xfId="0" applyFont="1" applyFill="1" applyBorder="1" applyAlignment="1" applyProtection="1">
      <alignment horizontal="center" vertical="center"/>
    </xf>
    <xf numFmtId="0" fontId="6" fillId="6" borderId="0" xfId="0" applyFont="1" applyFill="1" applyBorder="1" applyAlignment="1" applyProtection="1">
      <alignment horizontal="center" vertical="center"/>
    </xf>
    <xf numFmtId="0" fontId="6" fillId="6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16" borderId="0" xfId="0" applyFont="1" applyFill="1" applyBorder="1" applyAlignment="1" applyProtection="1">
      <alignment horizontal="center" vertical="center"/>
    </xf>
    <xf numFmtId="180" fontId="13" fillId="16" borderId="0" xfId="0" applyNumberFormat="1" applyFont="1" applyFill="1" applyBorder="1" applyAlignment="1" applyProtection="1">
      <alignment horizontal="right" vertical="center"/>
    </xf>
    <xf numFmtId="0" fontId="6" fillId="16" borderId="5" xfId="0" applyFont="1" applyFill="1" applyBorder="1" applyAlignment="1" applyProtection="1">
      <alignment horizontal="center" vertical="center"/>
    </xf>
    <xf numFmtId="0" fontId="6" fillId="10" borderId="4" xfId="0" applyFont="1" applyFill="1" applyBorder="1" applyAlignment="1" applyProtection="1">
      <alignment horizontal="center" vertical="center"/>
    </xf>
    <xf numFmtId="0" fontId="6" fillId="10" borderId="0" xfId="0" applyFont="1" applyFill="1" applyBorder="1" applyAlignment="1" applyProtection="1">
      <alignment horizontal="center" vertical="center"/>
    </xf>
    <xf numFmtId="0" fontId="6" fillId="10" borderId="5" xfId="0" applyFont="1" applyFill="1" applyBorder="1" applyAlignment="1" applyProtection="1">
      <alignment horizontal="center" vertical="center"/>
    </xf>
    <xf numFmtId="0" fontId="6" fillId="11" borderId="4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11" borderId="0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vertical="center"/>
    </xf>
    <xf numFmtId="0" fontId="15" fillId="13" borderId="0" xfId="0" applyFont="1" applyFill="1" applyBorder="1" applyAlignment="1" applyProtection="1">
      <alignment horizontal="left" vertical="center"/>
    </xf>
    <xf numFmtId="0" fontId="15" fillId="13" borderId="0" xfId="0" applyFont="1" applyFill="1" applyBorder="1" applyAlignment="1" applyProtection="1">
      <alignment horizontal="center" vertical="center"/>
    </xf>
    <xf numFmtId="0" fontId="15" fillId="13" borderId="5" xfId="0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6" fillId="16" borderId="0" xfId="0" applyFont="1" applyFill="1" applyBorder="1" applyAlignment="1" applyProtection="1">
      <alignment horizontal="center" vertical="center"/>
    </xf>
    <xf numFmtId="0" fontId="6" fillId="16" borderId="5" xfId="0" applyFont="1" applyFill="1" applyBorder="1" applyAlignment="1" applyProtection="1">
      <alignment horizontal="center" vertical="center"/>
    </xf>
    <xf numFmtId="0" fontId="27" fillId="13" borderId="0" xfId="0" applyFont="1" applyFill="1" applyBorder="1" applyAlignment="1" applyProtection="1">
      <alignment horizontal="left" vertical="top" wrapText="1"/>
    </xf>
    <xf numFmtId="0" fontId="27" fillId="13" borderId="0" xfId="0" applyFont="1" applyFill="1" applyBorder="1" applyAlignment="1" applyProtection="1">
      <alignment horizontal="left" vertical="top"/>
    </xf>
    <xf numFmtId="0" fontId="27" fillId="13" borderId="5" xfId="0" applyFont="1" applyFill="1" applyBorder="1" applyAlignment="1" applyProtection="1">
      <alignment horizontal="left" vertical="top"/>
    </xf>
    <xf numFmtId="0" fontId="6" fillId="6" borderId="4" xfId="0" applyNumberFormat="1" applyFont="1" applyFill="1" applyBorder="1" applyAlignment="1" applyProtection="1">
      <alignment horizontal="center" vertical="center"/>
    </xf>
    <xf numFmtId="0" fontId="6" fillId="6" borderId="0" xfId="0" applyNumberFormat="1" applyFont="1" applyFill="1" applyBorder="1" applyAlignment="1" applyProtection="1">
      <alignment horizontal="center" vertical="center"/>
    </xf>
    <xf numFmtId="0" fontId="15" fillId="12" borderId="5" xfId="0" applyNumberFormat="1" applyFont="1" applyFill="1" applyBorder="1" applyAlignment="1" applyProtection="1">
      <alignment horizontal="center" vertical="center"/>
    </xf>
    <xf numFmtId="0" fontId="6" fillId="13" borderId="0" xfId="0" applyFont="1" applyFill="1" applyBorder="1" applyAlignment="1" applyProtection="1">
      <alignment horizontal="left" vertical="center"/>
    </xf>
    <xf numFmtId="0" fontId="6" fillId="13" borderId="0" xfId="0" applyFont="1" applyFill="1" applyBorder="1" applyProtection="1">
      <alignment vertical="center"/>
    </xf>
    <xf numFmtId="0" fontId="6" fillId="13" borderId="5" xfId="0" applyFont="1" applyFill="1" applyBorder="1" applyProtection="1">
      <alignment vertical="center"/>
    </xf>
    <xf numFmtId="0" fontId="15" fillId="12" borderId="4" xfId="0" applyFont="1" applyFill="1" applyBorder="1" applyAlignment="1" applyProtection="1">
      <alignment horizontal="center" vertical="center"/>
    </xf>
    <xf numFmtId="0" fontId="15" fillId="12" borderId="0" xfId="0" applyFont="1" applyFill="1" applyBorder="1" applyAlignment="1" applyProtection="1">
      <alignment horizontal="center" vertical="center"/>
    </xf>
    <xf numFmtId="0" fontId="15" fillId="12" borderId="5" xfId="0" applyFont="1" applyFill="1" applyBorder="1" applyAlignment="1" applyProtection="1">
      <alignment horizontal="center" vertical="center"/>
    </xf>
    <xf numFmtId="0" fontId="27" fillId="13" borderId="5" xfId="0" applyFont="1" applyFill="1" applyBorder="1" applyAlignment="1" applyProtection="1">
      <alignment horizontal="left" vertical="top" wrapText="1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0" xfId="0" applyFont="1" applyFill="1" applyProtection="1">
      <alignment vertical="center"/>
    </xf>
    <xf numFmtId="0" fontId="6" fillId="0" borderId="4" xfId="0" applyNumberFormat="1" applyFont="1" applyFill="1" applyBorder="1" applyProtection="1">
      <alignment vertical="center"/>
    </xf>
    <xf numFmtId="0" fontId="6" fillId="0" borderId="0" xfId="0" applyNumberFormat="1" applyFont="1" applyFill="1" applyBorder="1" applyProtection="1">
      <alignment vertical="center"/>
    </xf>
    <xf numFmtId="0" fontId="6" fillId="13" borderId="0" xfId="0" applyNumberFormat="1" applyFont="1" applyFill="1" applyBorder="1" applyProtection="1">
      <alignment vertical="center"/>
    </xf>
    <xf numFmtId="0" fontId="6" fillId="13" borderId="5" xfId="0" applyNumberFormat="1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178" fontId="6" fillId="3" borderId="4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178" fontId="6" fillId="4" borderId="0" xfId="0" applyNumberFormat="1" applyFont="1" applyFill="1" applyBorder="1" applyAlignment="1" applyProtection="1">
      <alignment horizontal="center" vertical="center"/>
    </xf>
    <xf numFmtId="0" fontId="6" fillId="13" borderId="0" xfId="0" applyNumberFormat="1" applyFont="1" applyFill="1" applyBorder="1" applyAlignment="1" applyProtection="1">
      <alignment vertical="center"/>
    </xf>
    <xf numFmtId="0" fontId="6" fillId="10" borderId="4" xfId="0" applyFont="1" applyFill="1" applyBorder="1" applyAlignment="1" applyProtection="1">
      <alignment horizontal="center" vertical="center"/>
    </xf>
    <xf numFmtId="0" fontId="6" fillId="10" borderId="5" xfId="0" applyFont="1" applyFill="1" applyBorder="1" applyAlignment="1" applyProtection="1">
      <alignment horizontal="center" vertical="center"/>
    </xf>
    <xf numFmtId="0" fontId="6" fillId="10" borderId="0" xfId="0" applyFont="1" applyFill="1" applyBorder="1" applyAlignment="1" applyProtection="1">
      <alignment horizontal="center" vertical="center"/>
    </xf>
    <xf numFmtId="0" fontId="6" fillId="10" borderId="4" xfId="0" applyNumberFormat="1" applyFont="1" applyFill="1" applyBorder="1" applyAlignment="1" applyProtection="1">
      <alignment horizontal="center" vertical="center"/>
    </xf>
    <xf numFmtId="0" fontId="6" fillId="10" borderId="0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6" fillId="4" borderId="0" xfId="0" applyNumberFormat="1" applyFont="1" applyFill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left" vertical="center"/>
    </xf>
    <xf numFmtId="0" fontId="13" fillId="0" borderId="5" xfId="0" applyFont="1" applyBorder="1" applyAlignment="1" applyProtection="1">
      <alignment horizontal="left" vertical="center"/>
    </xf>
    <xf numFmtId="0" fontId="26" fillId="0" borderId="0" xfId="0" applyFo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26" fillId="13" borderId="0" xfId="0" applyFont="1" applyFill="1" applyBorder="1" applyAlignment="1" applyProtection="1">
      <alignment horizontal="left" vertical="center"/>
    </xf>
    <xf numFmtId="0" fontId="25" fillId="13" borderId="0" xfId="0" applyFont="1" applyFill="1" applyBorder="1" applyAlignment="1" applyProtection="1">
      <alignment horizontal="left" vertical="center"/>
    </xf>
    <xf numFmtId="0" fontId="26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Border="1" applyAlignment="1" applyProtection="1">
      <alignment horizontal="left" vertical="center"/>
    </xf>
    <xf numFmtId="0" fontId="26" fillId="13" borderId="0" xfId="0" applyNumberFormat="1" applyFont="1" applyFill="1" applyBorder="1" applyAlignment="1" applyProtection="1">
      <alignment vertical="center"/>
    </xf>
    <xf numFmtId="0" fontId="26" fillId="13" borderId="5" xfId="0" applyNumberFormat="1" applyFont="1" applyFill="1" applyBorder="1" applyAlignment="1" applyProtection="1">
      <alignment vertical="center"/>
    </xf>
    <xf numFmtId="0" fontId="6" fillId="7" borderId="4" xfId="0" applyFont="1" applyFill="1" applyBorder="1" applyAlignment="1" applyProtection="1">
      <alignment horizontal="center" vertical="center"/>
    </xf>
    <xf numFmtId="0" fontId="6" fillId="8" borderId="5" xfId="0" applyFont="1" applyFill="1" applyBorder="1" applyAlignment="1" applyProtection="1">
      <alignment horizontal="center" vertical="center"/>
    </xf>
    <xf numFmtId="0" fontId="6" fillId="8" borderId="0" xfId="0" applyFont="1" applyFill="1" applyBorder="1" applyAlignment="1" applyProtection="1">
      <alignment horizontal="center" vertical="center"/>
    </xf>
    <xf numFmtId="0" fontId="6" fillId="7" borderId="4" xfId="0" applyNumberFormat="1" applyFont="1" applyFill="1" applyBorder="1" applyAlignment="1" applyProtection="1">
      <alignment horizontal="center" vertical="center"/>
    </xf>
    <xf numFmtId="0" fontId="6" fillId="8" borderId="0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Border="1" applyProtection="1">
      <alignment vertical="center"/>
    </xf>
    <xf numFmtId="0" fontId="8" fillId="0" borderId="4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5" xfId="0" applyFont="1" applyFill="1" applyBorder="1" applyAlignment="1" applyProtection="1">
      <alignment horizontal="left" vertical="center"/>
    </xf>
    <xf numFmtId="0" fontId="8" fillId="13" borderId="0" xfId="0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13" borderId="0" xfId="0" applyNumberFormat="1" applyFont="1" applyFill="1" applyBorder="1" applyAlignment="1" applyProtection="1">
      <alignment vertical="center"/>
    </xf>
    <xf numFmtId="0" fontId="8" fillId="13" borderId="5" xfId="0" applyNumberFormat="1" applyFont="1" applyFill="1" applyBorder="1" applyAlignment="1" applyProtection="1">
      <alignment vertical="center"/>
    </xf>
    <xf numFmtId="0" fontId="13" fillId="9" borderId="6" xfId="0" applyFont="1" applyFill="1" applyBorder="1" applyAlignment="1" applyProtection="1">
      <alignment horizontal="center" vertical="center"/>
    </xf>
    <xf numFmtId="0" fontId="13" fillId="9" borderId="7" xfId="0" applyFont="1" applyFill="1" applyBorder="1" applyAlignment="1" applyProtection="1">
      <alignment horizontal="center" vertical="center"/>
    </xf>
    <xf numFmtId="0" fontId="13" fillId="9" borderId="8" xfId="0" applyFont="1" applyFill="1" applyBorder="1" applyAlignment="1" applyProtection="1">
      <alignment horizontal="center" vertical="center"/>
    </xf>
    <xf numFmtId="0" fontId="8" fillId="13" borderId="7" xfId="0" applyFont="1" applyFill="1" applyBorder="1" applyAlignment="1" applyProtection="1">
      <alignment horizontal="center" vertical="center"/>
    </xf>
    <xf numFmtId="0" fontId="27" fillId="13" borderId="7" xfId="0" applyFont="1" applyFill="1" applyBorder="1" applyAlignment="1" applyProtection="1">
      <alignment horizontal="left" vertical="top" wrapText="1"/>
    </xf>
    <xf numFmtId="0" fontId="27" fillId="13" borderId="8" xfId="0" applyFont="1" applyFill="1" applyBorder="1" applyAlignment="1" applyProtection="1">
      <alignment horizontal="left" vertical="top" wrapText="1"/>
    </xf>
    <xf numFmtId="0" fontId="27" fillId="13" borderId="7" xfId="0" applyFont="1" applyFill="1" applyBorder="1" applyAlignment="1" applyProtection="1">
      <alignment horizontal="left" vertical="top"/>
    </xf>
    <xf numFmtId="0" fontId="27" fillId="13" borderId="8" xfId="0" applyFont="1" applyFill="1" applyBorder="1" applyAlignment="1" applyProtection="1">
      <alignment horizontal="left" vertical="top"/>
    </xf>
    <xf numFmtId="0" fontId="13" fillId="9" borderId="6" xfId="0" applyNumberFormat="1" applyFont="1" applyFill="1" applyBorder="1" applyAlignment="1" applyProtection="1">
      <alignment horizontal="center" vertical="center"/>
    </xf>
    <xf numFmtId="0" fontId="13" fillId="9" borderId="7" xfId="0" applyNumberFormat="1" applyFont="1" applyFill="1" applyBorder="1" applyAlignment="1" applyProtection="1">
      <alignment horizontal="center" vertical="center"/>
    </xf>
    <xf numFmtId="0" fontId="13" fillId="13" borderId="7" xfId="0" applyNumberFormat="1" applyFont="1" applyFill="1" applyBorder="1" applyAlignment="1" applyProtection="1">
      <alignment vertical="center"/>
    </xf>
    <xf numFmtId="0" fontId="13" fillId="13" borderId="8" xfId="0" applyNumberFormat="1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NumberFormat="1" applyFont="1" applyProtection="1">
      <alignment vertical="center"/>
    </xf>
    <xf numFmtId="0" fontId="6" fillId="0" borderId="0" xfId="0" applyNumberFormat="1" applyFont="1" applyAlignment="1" applyProtection="1">
      <alignment vertical="center"/>
    </xf>
    <xf numFmtId="0" fontId="6" fillId="0" borderId="0" xfId="0" applyFont="1" applyFill="1" applyBorder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0" fontId="19" fillId="0" borderId="4" xfId="0" applyNumberFormat="1" applyFont="1" applyBorder="1" applyAlignment="1" applyProtection="1">
      <alignment horizontal="left" vertical="center"/>
    </xf>
    <xf numFmtId="0" fontId="10" fillId="0" borderId="0" xfId="0" applyFont="1" applyBorder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center" vertical="center"/>
    </xf>
    <xf numFmtId="0" fontId="6" fillId="15" borderId="0" xfId="0" applyFont="1" applyFill="1" applyBorder="1" applyAlignment="1" applyProtection="1">
      <alignment horizontal="center" vertical="center"/>
    </xf>
    <xf numFmtId="0" fontId="6" fillId="0" borderId="4" xfId="0" applyFont="1" applyFill="1" applyBorder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7" fillId="0" borderId="0" xfId="0" applyFont="1" applyProtection="1">
      <alignment vertical="center"/>
    </xf>
    <xf numFmtId="0" fontId="8" fillId="0" borderId="0" xfId="0" applyFont="1" applyFill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11" fillId="0" borderId="0" xfId="0" applyFont="1" applyProtection="1">
      <alignment vertical="center"/>
    </xf>
    <xf numFmtId="0" fontId="6" fillId="0" borderId="0" xfId="0" applyFont="1" applyBorder="1" applyProtection="1">
      <alignment vertical="center"/>
    </xf>
    <xf numFmtId="0" fontId="12" fillId="0" borderId="0" xfId="0" applyFont="1" applyProtection="1">
      <alignment vertical="center"/>
    </xf>
    <xf numFmtId="0" fontId="10" fillId="14" borderId="14" xfId="0" applyFont="1" applyFill="1" applyBorder="1" applyAlignment="1" applyProtection="1">
      <alignment horizontal="center"/>
    </xf>
    <xf numFmtId="0" fontId="10" fillId="14" borderId="16" xfId="0" applyFont="1" applyFill="1" applyBorder="1" applyAlignment="1" applyProtection="1">
      <alignment horizontal="center"/>
    </xf>
    <xf numFmtId="0" fontId="10" fillId="14" borderId="15" xfId="0" applyFont="1" applyFill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12" xfId="0" applyFont="1" applyBorder="1" applyAlignment="1" applyProtection="1">
      <alignment vertical="center"/>
    </xf>
    <xf numFmtId="0" fontId="13" fillId="13" borderId="9" xfId="0" applyFont="1" applyFill="1" applyBorder="1" applyAlignment="1" applyProtection="1">
      <alignment horizontal="center" vertical="center"/>
    </xf>
    <xf numFmtId="0" fontId="13" fillId="13" borderId="10" xfId="0" applyFont="1" applyFill="1" applyBorder="1" applyAlignment="1" applyProtection="1">
      <alignment horizontal="center" vertical="center"/>
    </xf>
    <xf numFmtId="0" fontId="13" fillId="13" borderId="11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vertical="center"/>
    </xf>
    <xf numFmtId="0" fontId="6" fillId="13" borderId="1" xfId="0" applyFont="1" applyFill="1" applyBorder="1" applyProtection="1">
      <alignment vertical="center"/>
    </xf>
    <xf numFmtId="0" fontId="6" fillId="13" borderId="2" xfId="0" applyFont="1" applyFill="1" applyBorder="1" applyProtection="1">
      <alignment vertical="center"/>
    </xf>
    <xf numFmtId="0" fontId="6" fillId="13" borderId="3" xfId="0" applyFont="1" applyFill="1" applyBorder="1" applyProtection="1">
      <alignment vertical="center"/>
    </xf>
    <xf numFmtId="9" fontId="6" fillId="13" borderId="4" xfId="3" applyFont="1" applyFill="1" applyBorder="1" applyAlignment="1" applyProtection="1">
      <alignment vertical="center"/>
    </xf>
    <xf numFmtId="9" fontId="6" fillId="13" borderId="2" xfId="0" applyNumberFormat="1" applyFont="1" applyFill="1" applyBorder="1" applyAlignment="1" applyProtection="1">
      <alignment horizontal="left" vertical="center"/>
    </xf>
    <xf numFmtId="0" fontId="6" fillId="13" borderId="0" xfId="0" applyFont="1" applyFill="1" applyBorder="1" applyAlignment="1" applyProtection="1">
      <alignment vertical="center"/>
    </xf>
    <xf numFmtId="0" fontId="6" fillId="13" borderId="5" xfId="0" applyFont="1" applyFill="1" applyBorder="1" applyAlignment="1" applyProtection="1">
      <alignment vertical="center"/>
    </xf>
    <xf numFmtId="0" fontId="6" fillId="13" borderId="12" xfId="0" applyFont="1" applyFill="1" applyBorder="1" applyAlignment="1" applyProtection="1">
      <alignment vertical="center"/>
    </xf>
    <xf numFmtId="0" fontId="6" fillId="13" borderId="1" xfId="0" applyFont="1" applyFill="1" applyBorder="1" applyAlignment="1" applyProtection="1">
      <alignment horizontal="left" vertical="center"/>
    </xf>
    <xf numFmtId="9" fontId="6" fillId="13" borderId="2" xfId="0" applyNumberFormat="1" applyFont="1" applyFill="1" applyBorder="1" applyAlignment="1" applyProtection="1">
      <alignment horizontal="left" vertical="center"/>
    </xf>
    <xf numFmtId="10" fontId="6" fillId="13" borderId="3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center"/>
    </xf>
    <xf numFmtId="0" fontId="6" fillId="13" borderId="4" xfId="0" applyFont="1" applyFill="1" applyBorder="1" applyProtection="1">
      <alignment vertical="center"/>
    </xf>
    <xf numFmtId="0" fontId="6" fillId="13" borderId="4" xfId="0" applyFont="1" applyFill="1" applyBorder="1" applyAlignment="1" applyProtection="1">
      <alignment horizontal="right" vertical="center"/>
    </xf>
    <xf numFmtId="0" fontId="6" fillId="13" borderId="5" xfId="0" applyFont="1" applyFill="1" applyBorder="1" applyAlignment="1" applyProtection="1">
      <alignment horizontal="right" vertical="center"/>
    </xf>
    <xf numFmtId="0" fontId="6" fillId="13" borderId="12" xfId="0" applyFont="1" applyFill="1" applyBorder="1" applyProtection="1">
      <alignment vertical="center"/>
    </xf>
    <xf numFmtId="0" fontId="6" fillId="13" borderId="5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13" borderId="4" xfId="0" applyFont="1" applyFill="1" applyBorder="1" applyAlignment="1" applyProtection="1">
      <alignment vertical="center"/>
    </xf>
    <xf numFmtId="9" fontId="6" fillId="13" borderId="0" xfId="0" applyNumberFormat="1" applyFont="1" applyFill="1" applyBorder="1" applyAlignment="1" applyProtection="1">
      <alignment horizontal="left" vertical="center"/>
    </xf>
    <xf numFmtId="0" fontId="6" fillId="13" borderId="12" xfId="0" applyFont="1" applyFill="1" applyBorder="1" applyAlignment="1" applyProtection="1">
      <alignment horizontal="left" vertical="center"/>
    </xf>
    <xf numFmtId="9" fontId="6" fillId="13" borderId="0" xfId="0" applyNumberFormat="1" applyFont="1" applyFill="1" applyBorder="1" applyAlignment="1" applyProtection="1">
      <alignment horizontal="left" vertical="center"/>
    </xf>
    <xf numFmtId="9" fontId="6" fillId="13" borderId="5" xfId="3" applyFont="1" applyFill="1" applyBorder="1" applyAlignment="1" applyProtection="1">
      <alignment horizontal="left" vertical="center"/>
    </xf>
    <xf numFmtId="0" fontId="6" fillId="13" borderId="6" xfId="0" applyFont="1" applyFill="1" applyBorder="1" applyProtection="1">
      <alignment vertical="center"/>
    </xf>
    <xf numFmtId="0" fontId="6" fillId="13" borderId="7" xfId="0" applyFont="1" applyFill="1" applyBorder="1" applyProtection="1">
      <alignment vertical="center"/>
    </xf>
    <xf numFmtId="0" fontId="6" fillId="13" borderId="8" xfId="0" applyFont="1" applyFill="1" applyBorder="1" applyProtection="1">
      <alignment vertical="center"/>
    </xf>
    <xf numFmtId="0" fontId="6" fillId="13" borderId="6" xfId="0" applyFont="1" applyFill="1" applyBorder="1" applyAlignment="1" applyProtection="1">
      <alignment vertical="center"/>
    </xf>
    <xf numFmtId="0" fontId="6" fillId="13" borderId="7" xfId="0" applyFont="1" applyFill="1" applyBorder="1" applyAlignment="1" applyProtection="1">
      <alignment vertical="center"/>
    </xf>
    <xf numFmtId="177" fontId="6" fillId="13" borderId="7" xfId="0" applyNumberFormat="1" applyFont="1" applyFill="1" applyBorder="1" applyAlignment="1" applyProtection="1">
      <alignment horizontal="left" vertical="center"/>
    </xf>
    <xf numFmtId="177" fontId="6" fillId="13" borderId="7" xfId="0" applyNumberFormat="1" applyFont="1" applyFill="1" applyBorder="1" applyAlignment="1" applyProtection="1">
      <alignment horizontal="left" vertical="center"/>
    </xf>
    <xf numFmtId="177" fontId="6" fillId="13" borderId="7" xfId="0" applyNumberFormat="1" applyFont="1" applyFill="1" applyBorder="1" applyAlignment="1" applyProtection="1">
      <alignment horizontal="right" vertical="center"/>
    </xf>
    <xf numFmtId="0" fontId="6" fillId="13" borderId="8" xfId="0" applyFont="1" applyFill="1" applyBorder="1" applyAlignment="1" applyProtection="1">
      <alignment vertical="center"/>
    </xf>
    <xf numFmtId="9" fontId="6" fillId="13" borderId="8" xfId="3" applyFont="1" applyFill="1" applyBorder="1" applyAlignment="1" applyProtection="1">
      <alignment horizontal="left" vertical="center"/>
    </xf>
    <xf numFmtId="177" fontId="6" fillId="0" borderId="0" xfId="0" applyNumberFormat="1" applyFont="1" applyFill="1" applyBorder="1" applyAlignment="1" applyProtection="1">
      <alignment horizontal="left" vertical="center"/>
    </xf>
    <xf numFmtId="177" fontId="6" fillId="0" borderId="0" xfId="0" applyNumberFormat="1" applyFont="1" applyFill="1" applyBorder="1" applyAlignment="1" applyProtection="1">
      <alignment horizontal="right" vertical="center"/>
    </xf>
    <xf numFmtId="0" fontId="14" fillId="3" borderId="1" xfId="0" applyFont="1" applyFill="1" applyBorder="1" applyAlignment="1" applyProtection="1">
      <alignment vertical="center"/>
    </xf>
    <xf numFmtId="0" fontId="12" fillId="3" borderId="2" xfId="0" applyFont="1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12" fillId="3" borderId="3" xfId="0" applyFont="1" applyFill="1" applyBorder="1" applyAlignment="1" applyProtection="1">
      <alignment vertical="center"/>
    </xf>
    <xf numFmtId="0" fontId="21" fillId="2" borderId="1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horizontal="right" vertical="center"/>
    </xf>
    <xf numFmtId="0" fontId="22" fillId="2" borderId="1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right" vertical="center"/>
    </xf>
    <xf numFmtId="0" fontId="23" fillId="5" borderId="1" xfId="0" applyFont="1" applyFill="1" applyBorder="1" applyAlignment="1" applyProtection="1">
      <alignment vertical="center"/>
    </xf>
    <xf numFmtId="0" fontId="5" fillId="5" borderId="2" xfId="0" applyFont="1" applyFill="1" applyBorder="1" applyAlignment="1" applyProtection="1">
      <alignment vertical="center"/>
    </xf>
    <xf numFmtId="0" fontId="5" fillId="5" borderId="3" xfId="0" applyFont="1" applyFill="1" applyBorder="1" applyAlignment="1" applyProtection="1">
      <alignment vertical="center"/>
    </xf>
    <xf numFmtId="0" fontId="14" fillId="0" borderId="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10" fillId="0" borderId="4" xfId="0" applyFont="1" applyBorder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7" fillId="5" borderId="13" xfId="0" applyFont="1" applyFill="1" applyBorder="1" applyAlignment="1" applyProtection="1">
      <alignment horizontal="center" vertical="center"/>
      <protection locked="0"/>
    </xf>
    <xf numFmtId="179" fontId="7" fillId="5" borderId="15" xfId="0" applyNumberFormat="1" applyFont="1" applyFill="1" applyBorder="1" applyAlignment="1" applyProtection="1">
      <alignment horizontal="center" vertical="center"/>
      <protection locked="0"/>
    </xf>
    <xf numFmtId="179" fontId="7" fillId="5" borderId="13" xfId="0" applyNumberFormat="1" applyFont="1" applyFill="1" applyBorder="1" applyAlignment="1" applyProtection="1">
      <alignment horizontal="center" vertical="center"/>
      <protection locked="0"/>
    </xf>
    <xf numFmtId="0" fontId="7" fillId="5" borderId="17" xfId="0" applyFont="1" applyFill="1" applyBorder="1" applyAlignment="1" applyProtection="1">
      <alignment horizontal="center" vertical="center"/>
      <protection locked="0"/>
    </xf>
    <xf numFmtId="14" fontId="7" fillId="5" borderId="13" xfId="0" applyNumberFormat="1" applyFont="1" applyFill="1" applyBorder="1" applyAlignment="1" applyProtection="1">
      <alignment horizontal="center" vertical="center"/>
      <protection locked="0"/>
    </xf>
    <xf numFmtId="0" fontId="7" fillId="5" borderId="17" xfId="0" applyNumberFormat="1" applyFont="1" applyFill="1" applyBorder="1" applyAlignment="1" applyProtection="1">
      <alignment horizontal="center" vertical="center"/>
      <protection locked="0"/>
    </xf>
    <xf numFmtId="14" fontId="7" fillId="5" borderId="18" xfId="0" applyNumberFormat="1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</cellXfs>
  <cellStyles count="4">
    <cellStyle name="一般" xfId="0" builtinId="0"/>
    <cellStyle name="一般 3" xfId="2" xr:uid="{00000000-0005-0000-0000-000001000000}"/>
    <cellStyle name="千分位" xfId="1" builtinId="3"/>
    <cellStyle name="百分比" xfId="3" builtinId="5"/>
  </cellStyles>
  <dxfs count="11">
    <dxf>
      <font>
        <color rgb="FF9C5700"/>
      </font>
      <fill>
        <patternFill>
          <bgColor rgb="FFFFEB9C"/>
        </patternFill>
      </fill>
    </dxf>
    <dxf>
      <font>
        <b/>
        <i/>
        <strike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strike/>
        <color rgb="FFFF0000"/>
      </font>
      <fill>
        <patternFill>
          <bgColor rgb="FFFFFF00"/>
        </patternFill>
      </fill>
    </dxf>
    <dxf>
      <font>
        <b/>
        <i/>
        <strike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strike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  <color rgb="FFFDEDCF"/>
      <color rgb="FFFFFFCC"/>
      <color rgb="FFFFCC99"/>
      <color rgb="FFFFFF99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F38"/>
  <sheetViews>
    <sheetView tabSelected="1" zoomScaleNormal="100" workbookViewId="0">
      <selection activeCell="AB16" sqref="AB16"/>
    </sheetView>
  </sheetViews>
  <sheetFormatPr defaultRowHeight="15.75"/>
  <cols>
    <col min="1" max="1" width="4.125" style="17" customWidth="1"/>
    <col min="2" max="2" width="13.25" style="17" customWidth="1"/>
    <col min="3" max="3" width="1.125" style="17" customWidth="1"/>
    <col min="4" max="4" width="13.25" style="17" customWidth="1"/>
    <col min="5" max="5" width="4.125" style="17" customWidth="1"/>
    <col min="6" max="6" width="12.75" style="17" customWidth="1"/>
    <col min="7" max="7" width="1.125" style="17" customWidth="1"/>
    <col min="8" max="8" width="12.75" style="115" customWidth="1"/>
    <col min="9" max="9" width="1.125" style="17" customWidth="1"/>
    <col min="10" max="10" width="3.375" style="17" customWidth="1"/>
    <col min="11" max="12" width="6.125" style="17" customWidth="1"/>
    <col min="13" max="13" width="4.125" style="17" customWidth="1"/>
    <col min="14" max="14" width="13.25" style="17" customWidth="1"/>
    <col min="15" max="15" width="1.125" style="17" customWidth="1"/>
    <col min="16" max="16" width="13.25" style="17" customWidth="1"/>
    <col min="17" max="17" width="4.125" style="17" customWidth="1"/>
    <col min="18" max="18" width="12.75" style="17" customWidth="1"/>
    <col min="19" max="19" width="1.125" style="17" customWidth="1"/>
    <col min="20" max="20" width="12.75" style="17" customWidth="1"/>
    <col min="21" max="21" width="1.125" style="17" customWidth="1"/>
    <col min="22" max="22" width="3.375" style="17" customWidth="1"/>
    <col min="23" max="24" width="6.125" style="17" customWidth="1"/>
    <col min="25" max="25" width="4.125" style="17" customWidth="1"/>
    <col min="26" max="26" width="12.875" style="17" customWidth="1"/>
    <col min="27" max="27" width="2.625" style="17" customWidth="1"/>
    <col min="28" max="28" width="12.875" style="17" customWidth="1"/>
    <col min="29" max="29" width="2.625" style="17" customWidth="1"/>
    <col min="30" max="30" width="12.875" style="120" customWidth="1"/>
    <col min="31" max="31" width="2.125" style="17" customWidth="1"/>
    <col min="32" max="16384" width="9" style="17"/>
  </cols>
  <sheetData>
    <row r="1" spans="2:32" ht="3.95" customHeight="1" thickBot="1">
      <c r="B1" s="136"/>
      <c r="C1" s="136"/>
      <c r="AE1" s="137"/>
    </row>
    <row r="2" spans="2:32" ht="21.75" thickTop="1" thickBot="1">
      <c r="B2" s="138" t="s">
        <v>33</v>
      </c>
      <c r="C2" s="138"/>
      <c r="I2" s="139" t="s">
        <v>28</v>
      </c>
      <c r="J2" s="140"/>
      <c r="K2" s="140"/>
      <c r="L2" s="140"/>
      <c r="M2" s="140"/>
      <c r="N2" s="140"/>
      <c r="O2" s="140"/>
      <c r="P2" s="141"/>
      <c r="AE2" s="137"/>
    </row>
    <row r="3" spans="2:32" ht="3.95" customHeight="1" thickTop="1" thickBot="1">
      <c r="B3" s="136"/>
      <c r="C3" s="136"/>
      <c r="AE3" s="137"/>
    </row>
    <row r="4" spans="2:32" ht="17.25" thickBot="1">
      <c r="B4" s="142" t="s">
        <v>5</v>
      </c>
      <c r="C4" s="143"/>
      <c r="D4" s="143"/>
      <c r="E4" s="143"/>
      <c r="F4" s="144"/>
      <c r="G4" s="145"/>
      <c r="H4" s="142" t="s">
        <v>6</v>
      </c>
      <c r="I4" s="143"/>
      <c r="J4" s="143"/>
      <c r="K4" s="143"/>
      <c r="L4" s="143"/>
      <c r="M4" s="143"/>
      <c r="N4" s="143"/>
      <c r="O4" s="143"/>
      <c r="P4" s="144"/>
      <c r="Q4" s="146"/>
      <c r="R4" s="147" t="s">
        <v>7</v>
      </c>
      <c r="S4" s="148"/>
      <c r="T4" s="149"/>
      <c r="U4" s="145"/>
      <c r="V4" s="145"/>
      <c r="W4" s="150" t="s">
        <v>68</v>
      </c>
      <c r="X4" s="145"/>
      <c r="Y4" s="145"/>
      <c r="Z4" s="145"/>
      <c r="AA4" s="145"/>
      <c r="AB4" s="145"/>
      <c r="AC4" s="145"/>
      <c r="AD4" s="145"/>
      <c r="AE4" s="145"/>
    </row>
    <row r="5" spans="2:32" ht="16.5">
      <c r="B5" s="151" t="s">
        <v>34</v>
      </c>
      <c r="C5" s="152"/>
      <c r="D5" s="152"/>
      <c r="E5" s="152"/>
      <c r="F5" s="153"/>
      <c r="G5" s="118"/>
      <c r="H5" s="154" t="s">
        <v>70</v>
      </c>
      <c r="I5" s="52"/>
      <c r="J5" s="155">
        <v>0.11</v>
      </c>
      <c r="K5" s="155"/>
      <c r="L5" s="156"/>
      <c r="M5" s="156" t="s">
        <v>25</v>
      </c>
      <c r="N5" s="156"/>
      <c r="O5" s="156"/>
      <c r="P5" s="157"/>
      <c r="Q5" s="158"/>
      <c r="R5" s="159" t="s">
        <v>8</v>
      </c>
      <c r="S5" s="160"/>
      <c r="T5" s="161">
        <v>5.1700000000000003E-2</v>
      </c>
      <c r="U5" s="119"/>
      <c r="V5" s="119"/>
      <c r="W5" s="162" t="s">
        <v>73</v>
      </c>
      <c r="X5" s="119"/>
      <c r="Y5" s="119"/>
      <c r="Z5" s="119"/>
      <c r="AA5" s="119"/>
      <c r="AB5" s="119"/>
      <c r="AC5" s="119"/>
      <c r="AD5" s="119"/>
      <c r="AE5" s="119"/>
    </row>
    <row r="6" spans="2:32" ht="3.95" customHeight="1">
      <c r="B6" s="163"/>
      <c r="C6" s="52"/>
      <c r="D6" s="52"/>
      <c r="E6" s="52"/>
      <c r="F6" s="53"/>
      <c r="G6" s="118"/>
      <c r="H6" s="164"/>
      <c r="I6" s="52"/>
      <c r="J6" s="52"/>
      <c r="K6" s="52"/>
      <c r="L6" s="51"/>
      <c r="M6" s="51"/>
      <c r="N6" s="51"/>
      <c r="O6" s="51"/>
      <c r="P6" s="165"/>
      <c r="Q6" s="166"/>
      <c r="R6" s="163"/>
      <c r="S6" s="51"/>
      <c r="T6" s="167"/>
      <c r="U6" s="118"/>
      <c r="V6" s="118"/>
      <c r="W6" s="118"/>
      <c r="X6" s="118"/>
      <c r="Y6" s="118"/>
      <c r="Z6" s="18"/>
      <c r="AA6" s="18"/>
      <c r="AB6" s="18"/>
      <c r="AC6" s="18"/>
      <c r="AD6" s="168"/>
      <c r="AE6" s="118"/>
    </row>
    <row r="7" spans="2:32" ht="16.5">
      <c r="B7" s="163" t="s">
        <v>35</v>
      </c>
      <c r="C7" s="52"/>
      <c r="D7" s="52"/>
      <c r="E7" s="52"/>
      <c r="F7" s="53"/>
      <c r="G7" s="118"/>
      <c r="H7" s="169" t="s">
        <v>71</v>
      </c>
      <c r="I7" s="156"/>
      <c r="J7" s="170">
        <v>0.01</v>
      </c>
      <c r="K7" s="170"/>
      <c r="L7" s="156"/>
      <c r="M7" s="156" t="s">
        <v>26</v>
      </c>
      <c r="N7" s="156"/>
      <c r="O7" s="156"/>
      <c r="P7" s="157"/>
      <c r="Q7" s="171"/>
      <c r="R7" s="169" t="s">
        <v>3</v>
      </c>
      <c r="S7" s="172"/>
      <c r="T7" s="173">
        <v>0.3</v>
      </c>
      <c r="U7" s="18"/>
      <c r="V7" s="18"/>
      <c r="W7" s="18"/>
      <c r="X7" s="18"/>
      <c r="Y7" s="18"/>
      <c r="Z7" s="119"/>
      <c r="AA7" s="119"/>
      <c r="AB7" s="119"/>
      <c r="AC7" s="119"/>
      <c r="AD7" s="119"/>
      <c r="AE7" s="119"/>
    </row>
    <row r="8" spans="2:32" ht="3.95" customHeight="1">
      <c r="B8" s="163"/>
      <c r="C8" s="52"/>
      <c r="D8" s="52"/>
      <c r="E8" s="52"/>
      <c r="F8" s="53"/>
      <c r="G8" s="118"/>
      <c r="H8" s="164"/>
      <c r="I8" s="52"/>
      <c r="J8" s="52"/>
      <c r="K8" s="52"/>
      <c r="L8" s="156"/>
      <c r="M8" s="52"/>
      <c r="N8" s="52"/>
      <c r="O8" s="52"/>
      <c r="P8" s="157"/>
      <c r="Q8" s="166"/>
      <c r="R8" s="163"/>
      <c r="S8" s="52"/>
      <c r="T8" s="167"/>
      <c r="U8" s="118"/>
      <c r="V8" s="118"/>
      <c r="W8" s="118"/>
      <c r="X8" s="118"/>
      <c r="Y8" s="118"/>
      <c r="Z8" s="119"/>
      <c r="AA8" s="118"/>
      <c r="AB8" s="118"/>
      <c r="AC8" s="118"/>
      <c r="AD8" s="119"/>
      <c r="AE8" s="118"/>
    </row>
    <row r="9" spans="2:32" ht="18.75" customHeight="1" thickBot="1">
      <c r="B9" s="174" t="s">
        <v>36</v>
      </c>
      <c r="C9" s="175"/>
      <c r="D9" s="175"/>
      <c r="E9" s="175"/>
      <c r="F9" s="176"/>
      <c r="G9" s="118"/>
      <c r="H9" s="177" t="s">
        <v>72</v>
      </c>
      <c r="I9" s="178"/>
      <c r="J9" s="179">
        <v>1E-3</v>
      </c>
      <c r="K9" s="179"/>
      <c r="L9" s="180"/>
      <c r="M9" s="181"/>
      <c r="N9" s="181"/>
      <c r="O9" s="181"/>
      <c r="P9" s="182"/>
      <c r="Q9" s="171"/>
      <c r="R9" s="177" t="s">
        <v>4</v>
      </c>
      <c r="S9" s="175"/>
      <c r="T9" s="183">
        <v>0.6</v>
      </c>
      <c r="U9" s="18"/>
      <c r="V9" s="18"/>
      <c r="W9" s="18"/>
      <c r="X9" s="18"/>
      <c r="Y9" s="18"/>
      <c r="Z9" s="184"/>
      <c r="AA9" s="185"/>
      <c r="AB9" s="185"/>
      <c r="AC9" s="185"/>
      <c r="AD9" s="119"/>
      <c r="AE9" s="119"/>
    </row>
    <row r="10" spans="2:32" ht="8.25" customHeight="1" thickBot="1"/>
    <row r="11" spans="2:32" ht="26.25">
      <c r="B11" s="186" t="s">
        <v>37</v>
      </c>
      <c r="C11" s="187"/>
      <c r="D11" s="188"/>
      <c r="E11" s="189"/>
      <c r="F11" s="186" t="s">
        <v>38</v>
      </c>
      <c r="G11" s="187"/>
      <c r="H11" s="190"/>
      <c r="I11" s="187"/>
      <c r="J11" s="187"/>
      <c r="K11" s="187"/>
      <c r="L11" s="191"/>
      <c r="M11" s="189"/>
      <c r="N11" s="192" t="s">
        <v>40</v>
      </c>
      <c r="O11" s="193"/>
      <c r="P11" s="194"/>
      <c r="Q11" s="189"/>
      <c r="R11" s="195" t="s">
        <v>39</v>
      </c>
      <c r="S11" s="193"/>
      <c r="T11" s="196"/>
      <c r="U11" s="196"/>
      <c r="V11" s="196"/>
      <c r="W11" s="196"/>
      <c r="X11" s="194"/>
      <c r="Y11" s="189"/>
      <c r="Z11" s="197" t="s">
        <v>20</v>
      </c>
      <c r="AA11" s="198"/>
      <c r="AB11" s="198"/>
      <c r="AC11" s="198"/>
      <c r="AD11" s="199"/>
      <c r="AF11" s="189"/>
    </row>
    <row r="12" spans="2:32" ht="6" customHeight="1">
      <c r="B12" s="200"/>
      <c r="C12" s="201"/>
      <c r="D12" s="202"/>
      <c r="E12" s="189"/>
      <c r="F12" s="200"/>
      <c r="G12" s="201"/>
      <c r="H12" s="189"/>
      <c r="I12" s="201"/>
      <c r="J12" s="201"/>
      <c r="K12" s="201"/>
      <c r="L12" s="203"/>
      <c r="M12" s="189"/>
      <c r="N12" s="204"/>
      <c r="O12" s="189"/>
      <c r="P12" s="205"/>
      <c r="Q12" s="189"/>
      <c r="R12" s="204"/>
      <c r="S12" s="189"/>
      <c r="T12" s="206"/>
      <c r="U12" s="206"/>
      <c r="V12" s="206"/>
      <c r="W12" s="206"/>
      <c r="X12" s="205"/>
      <c r="Y12" s="189"/>
      <c r="Z12" s="204"/>
      <c r="AA12" s="189"/>
      <c r="AB12" s="189"/>
      <c r="AC12" s="189"/>
      <c r="AD12" s="202"/>
      <c r="AF12" s="207"/>
    </row>
    <row r="13" spans="2:32" s="208" customFormat="1" ht="20.25" customHeight="1" thickBot="1">
      <c r="B13" s="209" t="s">
        <v>17</v>
      </c>
      <c r="C13" s="210"/>
      <c r="D13" s="211" t="s">
        <v>18</v>
      </c>
      <c r="F13" s="209" t="s">
        <v>17</v>
      </c>
      <c r="G13" s="210"/>
      <c r="H13" s="212" t="s">
        <v>18</v>
      </c>
      <c r="I13" s="210"/>
      <c r="J13" s="211" t="s">
        <v>55</v>
      </c>
      <c r="K13" s="210"/>
      <c r="L13" s="213"/>
      <c r="N13" s="209" t="s">
        <v>17</v>
      </c>
      <c r="O13" s="210"/>
      <c r="P13" s="211" t="s">
        <v>18</v>
      </c>
      <c r="R13" s="209" t="s">
        <v>17</v>
      </c>
      <c r="S13" s="210"/>
      <c r="T13" s="212" t="s">
        <v>18</v>
      </c>
      <c r="U13" s="212"/>
      <c r="V13" s="211" t="s">
        <v>55</v>
      </c>
      <c r="W13" s="210"/>
      <c r="X13" s="213"/>
      <c r="Z13" s="214" t="s">
        <v>23</v>
      </c>
      <c r="AA13" s="125"/>
      <c r="AB13" s="215" t="str">
        <f>IF(Z14="日薪","*日薪金額：","*時薪金額：")</f>
        <v>*時薪金額：</v>
      </c>
      <c r="AC13" s="215"/>
      <c r="AD13" s="216" t="str">
        <f>IF(Z14="日薪","*核發日數：","*核發時數：")</f>
        <v>*核發時數：</v>
      </c>
    </row>
    <row r="14" spans="2:32" s="131" customFormat="1" ht="20.25" customHeight="1" thickTop="1" thickBot="1">
      <c r="B14" s="217">
        <v>27470</v>
      </c>
      <c r="C14" s="135"/>
      <c r="D14" s="217" t="s">
        <v>1</v>
      </c>
      <c r="F14" s="217">
        <v>36000</v>
      </c>
      <c r="G14" s="135"/>
      <c r="H14" s="217" t="s">
        <v>1</v>
      </c>
      <c r="I14" s="135"/>
      <c r="J14" s="133"/>
      <c r="K14" s="217" t="s">
        <v>69</v>
      </c>
      <c r="L14" s="218">
        <v>9</v>
      </c>
      <c r="N14" s="217">
        <v>6000</v>
      </c>
      <c r="O14" s="135"/>
      <c r="P14" s="217" t="s">
        <v>1</v>
      </c>
      <c r="R14" s="217">
        <v>6000</v>
      </c>
      <c r="S14" s="135"/>
      <c r="T14" s="217" t="s">
        <v>1</v>
      </c>
      <c r="U14" s="134"/>
      <c r="V14" s="133"/>
      <c r="W14" s="217" t="s">
        <v>48</v>
      </c>
      <c r="X14" s="218">
        <v>15</v>
      </c>
      <c r="Z14" s="220" t="s">
        <v>31</v>
      </c>
      <c r="AA14" s="133"/>
      <c r="AB14" s="217">
        <v>183</v>
      </c>
      <c r="AC14" s="132"/>
      <c r="AD14" s="224">
        <v>60</v>
      </c>
    </row>
    <row r="15" spans="2:32" s="59" customFormat="1" ht="10.5" customHeight="1" thickTop="1" thickBot="1">
      <c r="B15" s="58"/>
      <c r="C15" s="18"/>
      <c r="D15" s="20"/>
      <c r="F15" s="58"/>
      <c r="G15" s="18"/>
      <c r="H15" s="18"/>
      <c r="I15" s="18"/>
      <c r="J15" s="18"/>
      <c r="K15" s="28"/>
      <c r="L15" s="20"/>
      <c r="N15" s="58"/>
      <c r="O15" s="18"/>
      <c r="P15" s="20"/>
      <c r="R15" s="58"/>
      <c r="S15" s="18"/>
      <c r="T15" s="18"/>
      <c r="U15" s="18"/>
      <c r="V15" s="18"/>
      <c r="W15" s="28"/>
      <c r="X15" s="20"/>
      <c r="Z15" s="129"/>
      <c r="AA15" s="118"/>
      <c r="AB15" s="118"/>
      <c r="AC15" s="118"/>
      <c r="AD15" s="130"/>
    </row>
    <row r="16" spans="2:32" ht="20.25" customHeight="1" thickTop="1" thickBot="1">
      <c r="B16" s="14" t="s">
        <v>9</v>
      </c>
      <c r="C16" s="15"/>
      <c r="D16" s="16"/>
      <c r="F16" s="14" t="s">
        <v>9</v>
      </c>
      <c r="G16" s="15"/>
      <c r="H16" s="15"/>
      <c r="I16" s="15"/>
      <c r="J16" s="127" t="s">
        <v>53</v>
      </c>
      <c r="K16" s="128" t="str">
        <f>K14</f>
        <v>1月</v>
      </c>
      <c r="L16" s="219">
        <v>31</v>
      </c>
      <c r="N16" s="14" t="s">
        <v>9</v>
      </c>
      <c r="O16" s="15"/>
      <c r="P16" s="16"/>
      <c r="R16" s="14" t="s">
        <v>9</v>
      </c>
      <c r="S16" s="15"/>
      <c r="T16" s="15"/>
      <c r="U16" s="18"/>
      <c r="V16" s="127" t="s">
        <v>53</v>
      </c>
      <c r="W16" s="128" t="str">
        <f>W14</f>
        <v>8月</v>
      </c>
      <c r="X16" s="219">
        <v>20</v>
      </c>
      <c r="Z16" s="124" t="s">
        <v>18</v>
      </c>
      <c r="AA16" s="22"/>
      <c r="AB16" s="125" t="s">
        <v>67</v>
      </c>
      <c r="AC16" s="22"/>
      <c r="AD16" s="126"/>
    </row>
    <row r="17" spans="2:30" ht="20.25" customHeight="1" thickTop="1" thickBot="1">
      <c r="B17" s="25">
        <f>IF(B14&gt;級距表!$B$2,級距表!$B$2,IF(OR(B14="",B14=0),"",VLOOKUP(MATCH(B14,級距表!$B:$B,-1)-1,級距表!$A:$B,2,0)))</f>
        <v>27470</v>
      </c>
      <c r="C17" s="26"/>
      <c r="D17" s="27"/>
      <c r="F17" s="25">
        <f>IF(F14&gt;級距表!$B$2,級距表!$B$2,IF(OR(F14="",F14=0),"",VLOOKUP(MATCH(F14,級距表!$B:$B,-1)-1,級距表!$A:$B,2,0)))</f>
        <v>36300</v>
      </c>
      <c r="G17" s="26"/>
      <c r="H17" s="26"/>
      <c r="I17" s="28"/>
      <c r="J17" s="28"/>
      <c r="K17" s="28"/>
      <c r="L17" s="123"/>
      <c r="N17" s="25">
        <f>IF(N14&gt;級距表!$B$2,級距表!$B$2,IF(OR(N14="",N14=0),"",VLOOKUP(MATCH(N14,級距表!$B:$B,-1)-1,級距表!$A:$B,2,0)))</f>
        <v>11100</v>
      </c>
      <c r="O17" s="26"/>
      <c r="P17" s="27"/>
      <c r="R17" s="25">
        <f>IF(R14&gt;級距表!$B$2,級距表!$B$2,IF(OR(R14="",R14=0),"",VLOOKUP(MATCH(R14,級距表!$B:$B,-1)-1,級距表!$A:$B,2,0)))</f>
        <v>11100</v>
      </c>
      <c r="S17" s="26"/>
      <c r="T17" s="26"/>
      <c r="U17" s="28"/>
      <c r="V17" s="28"/>
      <c r="W17" s="28"/>
      <c r="X17" s="123"/>
      <c r="Z17" s="222" t="s">
        <v>1</v>
      </c>
      <c r="AA17" s="122"/>
      <c r="AB17" s="221">
        <v>45296</v>
      </c>
      <c r="AC17" s="121" t="s">
        <v>24</v>
      </c>
      <c r="AD17" s="223">
        <v>45366</v>
      </c>
    </row>
    <row r="18" spans="2:30" ht="20.25" customHeight="1" thickTop="1">
      <c r="B18" s="14" t="s">
        <v>10</v>
      </c>
      <c r="C18" s="15"/>
      <c r="D18" s="16"/>
      <c r="F18" s="14" t="s">
        <v>10</v>
      </c>
      <c r="G18" s="15"/>
      <c r="H18" s="15"/>
      <c r="I18" s="18"/>
      <c r="J18" s="19" t="s">
        <v>54</v>
      </c>
      <c r="K18" s="18"/>
      <c r="L18" s="20"/>
      <c r="N18" s="14" t="s">
        <v>10</v>
      </c>
      <c r="O18" s="15"/>
      <c r="P18" s="16"/>
      <c r="R18" s="14" t="s">
        <v>10</v>
      </c>
      <c r="S18" s="15"/>
      <c r="T18" s="15"/>
      <c r="U18" s="18"/>
      <c r="V18" s="19" t="s">
        <v>54</v>
      </c>
      <c r="W18" s="18"/>
      <c r="X18" s="20"/>
      <c r="Z18" s="21" t="s">
        <v>29</v>
      </c>
      <c r="AA18" s="22"/>
      <c r="AB18" s="23" t="s">
        <v>27</v>
      </c>
      <c r="AC18" s="22"/>
      <c r="AD18" s="24"/>
    </row>
    <row r="19" spans="2:30" ht="20.25" customHeight="1">
      <c r="B19" s="25">
        <f>IF(B14&gt;級距表!$C$2,級距表!$C$2,IF(OR(B14="",B14=0),"",VLOOKUP(MATCH(B14,級距表!$C:$C,-1)-1,級距表!$A:$C,3,0)))</f>
        <v>27470</v>
      </c>
      <c r="C19" s="26"/>
      <c r="D19" s="27"/>
      <c r="F19" s="25">
        <f>IF(F14&gt;級距表!$C$2,級距表!$C$2,IF(OR(F14="",F14=0),"",VLOOKUP(MATCH(F14,級距表!$C:$C,-1)-1,級距表!$A:$C,3,0)))</f>
        <v>36300</v>
      </c>
      <c r="G19" s="26"/>
      <c r="H19" s="26"/>
      <c r="I19" s="28"/>
      <c r="J19" s="29" t="s">
        <v>57</v>
      </c>
      <c r="K19" s="30">
        <f>IF(AND(K16="2月",L16=29),30-L14+1,IF(L16=31,IF(L14=31,1,30-L14+1),L16-L14+1))</f>
        <v>22</v>
      </c>
      <c r="L19" s="31" t="s">
        <v>56</v>
      </c>
      <c r="N19" s="32"/>
      <c r="O19" s="33"/>
      <c r="P19" s="34"/>
      <c r="R19" s="32"/>
      <c r="S19" s="33"/>
      <c r="T19" s="33"/>
      <c r="U19" s="28"/>
      <c r="V19" s="29" t="s">
        <v>57</v>
      </c>
      <c r="W19" s="30">
        <f>IF(AND(W16="2月",X16=29),30-X14+1,IF(X16=31,IF(X14=31,1,30-X14+1),X16-X14+1))</f>
        <v>6</v>
      </c>
      <c r="X19" s="31" t="s">
        <v>56</v>
      </c>
      <c r="Z19" s="35">
        <f>$AB$14*$AD$14</f>
        <v>10980</v>
      </c>
      <c r="AA19" s="36"/>
      <c r="AB19" s="37">
        <f>ROUND(($AB$14*$AD$14)/(DATEDIF($AB$17,$AD$17,"d")+1)*30,0)</f>
        <v>4639</v>
      </c>
      <c r="AC19" s="36"/>
      <c r="AD19" s="38"/>
    </row>
    <row r="20" spans="2:30" ht="20.25" customHeight="1">
      <c r="B20" s="14" t="s">
        <v>11</v>
      </c>
      <c r="C20" s="15"/>
      <c r="D20" s="16"/>
      <c r="F20" s="14" t="s">
        <v>11</v>
      </c>
      <c r="G20" s="15"/>
      <c r="H20" s="15"/>
      <c r="I20" s="18"/>
      <c r="J20" s="19" t="s">
        <v>58</v>
      </c>
      <c r="K20" s="18"/>
      <c r="L20" s="20"/>
      <c r="N20" s="14" t="s">
        <v>11</v>
      </c>
      <c r="O20" s="15"/>
      <c r="P20" s="16"/>
      <c r="R20" s="14" t="s">
        <v>11</v>
      </c>
      <c r="S20" s="15"/>
      <c r="T20" s="15"/>
      <c r="U20" s="39"/>
      <c r="V20" s="40"/>
      <c r="W20" s="40"/>
      <c r="X20" s="41"/>
      <c r="Z20" s="21" t="s">
        <v>9</v>
      </c>
      <c r="AA20" s="42"/>
      <c r="AB20" s="22" t="s">
        <v>11</v>
      </c>
      <c r="AC20" s="22"/>
      <c r="AD20" s="16" t="s">
        <v>32</v>
      </c>
    </row>
    <row r="21" spans="2:30" ht="20.25" customHeight="1">
      <c r="B21" s="25">
        <f>IF(B14&gt;級距表!$D$2,級距表!$D$2,IF(OR(B14="",B14=0),"",VLOOKUP(MATCH(B14,級距表!$D:$D,-1)-1,級距表!$A:$D,4,0)))</f>
        <v>27470</v>
      </c>
      <c r="C21" s="26"/>
      <c r="D21" s="27"/>
      <c r="F21" s="25">
        <f>IF(F14&gt;級距表!$D$2,級距表!$D$2,IF(OR(F14="",F14=0),"",VLOOKUP(MATCH(F14,級距表!$D:$D,-1)-1,級距表!$A:$D,4,0)))</f>
        <v>36300</v>
      </c>
      <c r="G21" s="26"/>
      <c r="H21" s="26"/>
      <c r="I21" s="28"/>
      <c r="J21" s="43" t="str">
        <f>IF(OR((AND(K16="1月",L16=31)),(AND(K16="3月",L16=31)),(AND(K16="5月",L16=31)),(AND(K16="7月",L16=31)),(AND(K16="8月",L16=31)),(AND(K16="10月",L16=31)),(AND(K16="12月",L16=31)),(AND(K16="2月",L16=29)),(AND(K16="4月",L16=30)),(AND(K16="6月",L16=30)),(AND(K16="9月",L16=30)),(AND(K16="11月",L16=30))),"是","否")</f>
        <v>是</v>
      </c>
      <c r="K21" s="43"/>
      <c r="L21" s="44"/>
      <c r="N21" s="25">
        <f>IF(N14&gt;級距表!$D$2,級距表!$D$2,IF(OR(N14="",N14=0),"",VLOOKUP(MATCH(N14,級距表!$D:$D,-1)-1,級距表!$A:$D,4,0)))</f>
        <v>6000</v>
      </c>
      <c r="O21" s="26"/>
      <c r="P21" s="27"/>
      <c r="R21" s="25">
        <f>IF(R14&gt;級距表!$D$2,級距表!$D$2,IF(OR(R14="",R14=0),"",VLOOKUP(MATCH(R14,級距表!$D:$D,-1)-1,級距表!$A:$D,4,0)))</f>
        <v>6000</v>
      </c>
      <c r="S21" s="26"/>
      <c r="T21" s="26"/>
      <c r="U21" s="40"/>
      <c r="V21" s="45" t="s">
        <v>62</v>
      </c>
      <c r="W21" s="46"/>
      <c r="X21" s="47"/>
      <c r="Z21" s="48">
        <f>IF(AB19&gt;級距表!$B$2,級距表!$B$2,IF(OR(AB19="",AB19=0),"",VLOOKUP(MATCH(AB19,級距表!$B:$B,-1)-1,級距表!$A:$B,2,0)))</f>
        <v>11100</v>
      </c>
      <c r="AA21" s="36"/>
      <c r="AB21" s="49">
        <f>IF(AB19&gt;級距表!$D$2,級距表!$D$2,IF(OR(AB19="",AB19=0),"",VLOOKUP(MATCH(AB19,級距表!$D:$D,-1)-1,級距表!$A:$D,4,0)))</f>
        <v>6000</v>
      </c>
      <c r="AC21" s="36"/>
      <c r="AD21" s="50">
        <f>IF(AB19&gt;級距表!$E$2,級距表!$E$2,IF(OR(AB19="",AB19=0),"",VLOOKUP(MATCH(AB19,級距表!$E:$E,-1)-1,級距表!$A:$E,5,0)))</f>
        <v>27470</v>
      </c>
    </row>
    <row r="22" spans="2:30" ht="20.25" customHeight="1">
      <c r="B22" s="14" t="s">
        <v>32</v>
      </c>
      <c r="C22" s="15"/>
      <c r="D22" s="16"/>
      <c r="F22" s="14" t="s">
        <v>32</v>
      </c>
      <c r="G22" s="15"/>
      <c r="H22" s="15"/>
      <c r="I22" s="51"/>
      <c r="J22" s="52"/>
      <c r="K22" s="52"/>
      <c r="L22" s="53"/>
      <c r="N22" s="14" t="s">
        <v>32</v>
      </c>
      <c r="O22" s="15"/>
      <c r="P22" s="16"/>
      <c r="R22" s="14" t="s">
        <v>32</v>
      </c>
      <c r="S22" s="15"/>
      <c r="T22" s="15"/>
      <c r="U22" s="39"/>
      <c r="V22" s="46"/>
      <c r="W22" s="46"/>
      <c r="X22" s="47"/>
      <c r="Z22" s="14" t="s">
        <v>10</v>
      </c>
      <c r="AA22" s="15"/>
      <c r="AB22" s="15"/>
      <c r="AC22" s="22"/>
      <c r="AD22" s="24"/>
    </row>
    <row r="23" spans="2:30" ht="20.25" customHeight="1">
      <c r="B23" s="54">
        <f>IF(B14&gt;級距表!$E$2,級距表!$E$2,IF(OR(B14="",B14=0),"",VLOOKUP(MATCH(B14,級距表!$E:$E,-1)-1,級距表!$A:$E,5,0)))</f>
        <v>27470</v>
      </c>
      <c r="C23" s="55"/>
      <c r="D23" s="56"/>
      <c r="F23" s="54">
        <f>IF(F14&gt;級距表!$E$2,級距表!$E$2,IF(OR(F14="",F14=0),"",VLOOKUP(MATCH(F14,級距表!$E:$E,-1)-1,級距表!$A:$E,5,0)))</f>
        <v>36300</v>
      </c>
      <c r="G23" s="55"/>
      <c r="H23" s="55"/>
      <c r="I23" s="40"/>
      <c r="J23" s="45" t="s">
        <v>61</v>
      </c>
      <c r="K23" s="45"/>
      <c r="L23" s="57"/>
      <c r="N23" s="54">
        <f>IF(N14&gt;級距表!$E$2,級距表!$E$2,IF(OR(N14="",N14=0),"",VLOOKUP(MATCH(N14,級距表!$E:$E,-1)-1,級距表!$A:$E,5,0)))</f>
        <v>27470</v>
      </c>
      <c r="O23" s="55"/>
      <c r="P23" s="56"/>
      <c r="R23" s="54">
        <f>IF(R14&gt;級距表!$E$2,級距表!$E$2,IF(OR(R14="",R14=0),"",VLOOKUP(MATCH(R14,級距表!$E:$E,-1)-1,級距表!$A:$E,5,0)))</f>
        <v>27470</v>
      </c>
      <c r="S23" s="55"/>
      <c r="T23" s="55"/>
      <c r="U23" s="40"/>
      <c r="V23" s="46"/>
      <c r="W23" s="46"/>
      <c r="X23" s="47"/>
      <c r="Z23" s="32"/>
      <c r="AA23" s="33"/>
      <c r="AB23" s="33"/>
      <c r="AC23" s="33"/>
      <c r="AD23" s="34"/>
    </row>
    <row r="24" spans="2:30" s="59" customFormat="1" ht="10.5" customHeight="1">
      <c r="B24" s="58"/>
      <c r="C24" s="18"/>
      <c r="D24" s="20"/>
      <c r="F24" s="58"/>
      <c r="G24" s="18"/>
      <c r="H24" s="18"/>
      <c r="I24" s="51"/>
      <c r="J24" s="45"/>
      <c r="K24" s="45"/>
      <c r="L24" s="57"/>
      <c r="N24" s="58"/>
      <c r="O24" s="18"/>
      <c r="P24" s="20"/>
      <c r="R24" s="58"/>
      <c r="S24" s="18"/>
      <c r="T24" s="18"/>
      <c r="U24" s="39"/>
      <c r="V24" s="46"/>
      <c r="W24" s="46"/>
      <c r="X24" s="47"/>
      <c r="Z24" s="60"/>
      <c r="AA24" s="61"/>
      <c r="AB24" s="61"/>
      <c r="AC24" s="62"/>
      <c r="AD24" s="63"/>
    </row>
    <row r="25" spans="2:30" ht="20.25" customHeight="1">
      <c r="B25" s="14" t="s">
        <v>12</v>
      </c>
      <c r="C25" s="15"/>
      <c r="D25" s="16" t="s">
        <v>16</v>
      </c>
      <c r="F25" s="14" t="s">
        <v>12</v>
      </c>
      <c r="G25" s="15"/>
      <c r="H25" s="15" t="s">
        <v>16</v>
      </c>
      <c r="I25" s="51"/>
      <c r="J25" s="45"/>
      <c r="K25" s="45"/>
      <c r="L25" s="57"/>
      <c r="N25" s="14" t="s">
        <v>12</v>
      </c>
      <c r="O25" s="15"/>
      <c r="P25" s="16" t="s">
        <v>16</v>
      </c>
      <c r="R25" s="14" t="s">
        <v>12</v>
      </c>
      <c r="S25" s="15"/>
      <c r="T25" s="15" t="s">
        <v>16</v>
      </c>
      <c r="U25" s="39"/>
      <c r="V25" s="46"/>
      <c r="W25" s="46"/>
      <c r="X25" s="47"/>
      <c r="Z25" s="21" t="s">
        <v>12</v>
      </c>
      <c r="AA25" s="61"/>
      <c r="AB25" s="22" t="s">
        <v>16</v>
      </c>
      <c r="AC25" s="62"/>
      <c r="AD25" s="63"/>
    </row>
    <row r="26" spans="2:30" ht="20.25" customHeight="1">
      <c r="B26" s="14" t="s">
        <v>13</v>
      </c>
      <c r="C26" s="15"/>
      <c r="D26" s="16" t="s">
        <v>13</v>
      </c>
      <c r="F26" s="14" t="s">
        <v>13</v>
      </c>
      <c r="G26" s="15"/>
      <c r="H26" s="15" t="s">
        <v>13</v>
      </c>
      <c r="I26" s="51"/>
      <c r="J26" s="45"/>
      <c r="K26" s="45"/>
      <c r="L26" s="57"/>
      <c r="N26" s="14" t="s">
        <v>13</v>
      </c>
      <c r="O26" s="15"/>
      <c r="P26" s="16" t="s">
        <v>13</v>
      </c>
      <c r="R26" s="14" t="s">
        <v>13</v>
      </c>
      <c r="S26" s="15"/>
      <c r="T26" s="15" t="s">
        <v>13</v>
      </c>
      <c r="U26" s="39"/>
      <c r="V26" s="46"/>
      <c r="W26" s="46"/>
      <c r="X26" s="47"/>
      <c r="Z26" s="21" t="s">
        <v>13</v>
      </c>
      <c r="AA26" s="61"/>
      <c r="AB26" s="22" t="s">
        <v>13</v>
      </c>
      <c r="AC26" s="62"/>
      <c r="AD26" s="63"/>
    </row>
    <row r="27" spans="2:30" ht="20.25" customHeight="1">
      <c r="B27" s="64">
        <f>IF(B14="",0,ROUND(B17*0.11*0.2,0)+ROUND(B17*0.01*0.2,0))</f>
        <v>659</v>
      </c>
      <c r="C27" s="15"/>
      <c r="D27" s="65">
        <f>IF(B14="",0,ROUND(B17*0.11*0.7,0)+ROUND(B17*0.01*0.7,0)+ROUND(B23*0.001,0))</f>
        <v>2334</v>
      </c>
      <c r="F27" s="64">
        <f>IF(F14="",0,ROUND(F17*K19/30*0.11*0.2,0)+ROUND(F17*K19/30*0.01*0.2,0))</f>
        <v>639</v>
      </c>
      <c r="G27" s="15"/>
      <c r="H27" s="66">
        <f>IF(F14="",0,ROUND(F17*K19/30*0.11*0.7,0)+ROUND(F17*K19/30*0.01*0.7,0)+ROUND(F17*K19/30*0.001,0))</f>
        <v>2263</v>
      </c>
      <c r="I27" s="51"/>
      <c r="J27" s="45"/>
      <c r="K27" s="45"/>
      <c r="L27" s="57"/>
      <c r="N27" s="64">
        <f>IF(N14="",0,ROUND(N17*0.11*0.2,0)+ROUND(N17*0.01*0.2,0))</f>
        <v>266</v>
      </c>
      <c r="O27" s="15"/>
      <c r="P27" s="65">
        <f>IF(N14="",0,ROUND(N17*0.11*0.7,0)+ROUND(N17*0.01*0.7,0)+ROUND(N23*0.001,0))</f>
        <v>960</v>
      </c>
      <c r="R27" s="64">
        <f>IF(R14="",0,ROUND(R17*W19/30*0.11*0.2,0)+ROUND(R17*W19/30*0.01*0.2,0))</f>
        <v>53</v>
      </c>
      <c r="S27" s="15"/>
      <c r="T27" s="66">
        <f>IF(R14="",0,ROUND(R17*W19/30*0.11*0.7,0)+ROUND(R17*W19/30*0.01*0.7,0))</f>
        <v>187</v>
      </c>
      <c r="U27" s="40"/>
      <c r="V27" s="46"/>
      <c r="W27" s="46"/>
      <c r="X27" s="47"/>
      <c r="Z27" s="67">
        <f>ROUND(Z21*$J$5*0.2/30*(DATEDIF(AB17,AD17,"d")+1),0)+ROUND(Z21*$J$7*0.2/30*(DATEDIF(AB17,AD17,"d")+1),0)</f>
        <v>631</v>
      </c>
      <c r="AA27" s="68"/>
      <c r="AB27" s="69">
        <f>ROUND(Z21*$J$5*0.7/30*(DATEDIF(AB17,AD17,"d")+1),0)+ROUND(Z21*$J$7*0.7/30*(DATEDIF(AB17,AD17,"d")+1),0)+ROUND(AD21*$J$9/30*(DATEDIF(AB17,AD17,"d")+1),0)</f>
        <v>2272</v>
      </c>
      <c r="AC27" s="70"/>
      <c r="AD27" s="63"/>
    </row>
    <row r="28" spans="2:30" ht="20.25" customHeight="1">
      <c r="B28" s="14" t="s">
        <v>14</v>
      </c>
      <c r="C28" s="15"/>
      <c r="D28" s="16" t="s">
        <v>14</v>
      </c>
      <c r="F28" s="14" t="s">
        <v>14</v>
      </c>
      <c r="G28" s="15"/>
      <c r="H28" s="15" t="s">
        <v>14</v>
      </c>
      <c r="I28" s="51"/>
      <c r="J28" s="45"/>
      <c r="K28" s="45"/>
      <c r="L28" s="57"/>
      <c r="N28" s="14" t="s">
        <v>14</v>
      </c>
      <c r="O28" s="15"/>
      <c r="P28" s="16" t="s">
        <v>14</v>
      </c>
      <c r="R28" s="14" t="s">
        <v>14</v>
      </c>
      <c r="S28" s="15"/>
      <c r="T28" s="15" t="s">
        <v>14</v>
      </c>
      <c r="U28" s="39"/>
      <c r="V28" s="46"/>
      <c r="W28" s="46"/>
      <c r="X28" s="47"/>
      <c r="Z28" s="21" t="s">
        <v>14</v>
      </c>
      <c r="AA28" s="61"/>
      <c r="AB28" s="22" t="s">
        <v>14</v>
      </c>
      <c r="AC28" s="62"/>
      <c r="AD28" s="63"/>
    </row>
    <row r="29" spans="2:30" ht="20.25" customHeight="1">
      <c r="B29" s="64">
        <f>IF(B14="",0,ROUND(B19*0.0517*0.3,0))</f>
        <v>426</v>
      </c>
      <c r="C29" s="15"/>
      <c r="D29" s="65">
        <f>IF(B14="",0,ROUND(B19*0.0517*0.6*1.56,0))</f>
        <v>1329</v>
      </c>
      <c r="F29" s="64">
        <f>IF(OR(F14="",J21="否"),0,ROUND(F19*0.0517*0.3,0))</f>
        <v>563</v>
      </c>
      <c r="G29" s="15"/>
      <c r="H29" s="66">
        <f>IF(OR(F14="",J21="否"),0,ROUND(F19*0.0517*0.6*1.56,0))</f>
        <v>1757</v>
      </c>
      <c r="I29" s="51"/>
      <c r="J29" s="45"/>
      <c r="K29" s="45"/>
      <c r="L29" s="57"/>
      <c r="N29" s="71"/>
      <c r="O29" s="15"/>
      <c r="P29" s="72"/>
      <c r="R29" s="71"/>
      <c r="S29" s="15"/>
      <c r="T29" s="73"/>
      <c r="U29" s="40"/>
      <c r="V29" s="46"/>
      <c r="W29" s="46"/>
      <c r="X29" s="47"/>
      <c r="Z29" s="74"/>
      <c r="AA29" s="68"/>
      <c r="AB29" s="75"/>
      <c r="AC29" s="70"/>
      <c r="AD29" s="63"/>
    </row>
    <row r="30" spans="2:30" ht="20.25" customHeight="1">
      <c r="B30" s="14" t="s">
        <v>15</v>
      </c>
      <c r="C30" s="15"/>
      <c r="D30" s="16" t="s">
        <v>15</v>
      </c>
      <c r="F30" s="14" t="s">
        <v>15</v>
      </c>
      <c r="G30" s="15"/>
      <c r="H30" s="15" t="s">
        <v>15</v>
      </c>
      <c r="I30" s="51"/>
      <c r="J30" s="45"/>
      <c r="K30" s="45"/>
      <c r="L30" s="57"/>
      <c r="N30" s="14" t="s">
        <v>15</v>
      </c>
      <c r="O30" s="15"/>
      <c r="P30" s="16" t="s">
        <v>15</v>
      </c>
      <c r="R30" s="14" t="s">
        <v>15</v>
      </c>
      <c r="S30" s="15"/>
      <c r="T30" s="15" t="s">
        <v>15</v>
      </c>
      <c r="U30" s="39"/>
      <c r="V30" s="46"/>
      <c r="W30" s="46"/>
      <c r="X30" s="47"/>
      <c r="Z30" s="21" t="s">
        <v>15</v>
      </c>
      <c r="AA30" s="61"/>
      <c r="AB30" s="22" t="s">
        <v>15</v>
      </c>
      <c r="AC30" s="62"/>
      <c r="AD30" s="63"/>
    </row>
    <row r="31" spans="2:30" ht="20.25" customHeight="1">
      <c r="B31" s="64">
        <f>IF(OR(B14="",D14="否"),0,ROUND(B21*0.06,0))</f>
        <v>0</v>
      </c>
      <c r="C31" s="15"/>
      <c r="D31" s="65">
        <f>IF(B14="",0,ROUND(B21*0.06,0))</f>
        <v>1648</v>
      </c>
      <c r="F31" s="64">
        <f>IF(OR(F14="",H14="否"),0,ROUND(F21*0.06*K19/30,0))</f>
        <v>0</v>
      </c>
      <c r="G31" s="15"/>
      <c r="H31" s="66">
        <f>IF(F14="",0,ROUND(F21*0.06*K19/30,0))</f>
        <v>1597</v>
      </c>
      <c r="I31" s="51"/>
      <c r="J31" s="45"/>
      <c r="K31" s="45"/>
      <c r="L31" s="57"/>
      <c r="N31" s="64">
        <f>IF(OR(N14="",P14="否"),0,ROUND(N21*0.06,0))</f>
        <v>0</v>
      </c>
      <c r="O31" s="15"/>
      <c r="P31" s="65">
        <f>IF(N14="",0,ROUND(N21*0.06,0))</f>
        <v>360</v>
      </c>
      <c r="R31" s="64">
        <f>IF(OR(R14="",T14="否"),0,ROUND(R21*0.06*W19/30,0))</f>
        <v>0</v>
      </c>
      <c r="S31" s="15"/>
      <c r="T31" s="66">
        <f>IF(R14="",0,ROUND(R21*0.06*W19/30,0))</f>
        <v>72</v>
      </c>
      <c r="U31" s="40"/>
      <c r="V31" s="46"/>
      <c r="W31" s="46"/>
      <c r="X31" s="47"/>
      <c r="Z31" s="76">
        <f>IF(OR(Z19="",Z17="否"),0,ROUND(AB21*0.06/30*(DATEDIF(AB17,AD17,"d")+1),0))</f>
        <v>0</v>
      </c>
      <c r="AA31" s="68"/>
      <c r="AB31" s="77">
        <f>ROUND(AB21*0.06/30*(DATEDIF(AB17,AD17,"d")+1),0)</f>
        <v>852</v>
      </c>
      <c r="AC31" s="70"/>
      <c r="AD31" s="63"/>
    </row>
    <row r="32" spans="2:30" ht="20.25" customHeight="1">
      <c r="B32" s="78" t="s">
        <v>60</v>
      </c>
      <c r="C32" s="79"/>
      <c r="D32" s="80" t="s">
        <v>60</v>
      </c>
      <c r="E32" s="81"/>
      <c r="F32" s="78" t="s">
        <v>60</v>
      </c>
      <c r="G32" s="79"/>
      <c r="H32" s="82" t="s">
        <v>59</v>
      </c>
      <c r="I32" s="83"/>
      <c r="J32" s="45"/>
      <c r="K32" s="45"/>
      <c r="L32" s="57"/>
      <c r="M32" s="81"/>
      <c r="N32" s="78" t="s">
        <v>60</v>
      </c>
      <c r="O32" s="79"/>
      <c r="P32" s="80" t="s">
        <v>60</v>
      </c>
      <c r="Q32" s="81"/>
      <c r="R32" s="78" t="s">
        <v>60</v>
      </c>
      <c r="S32" s="79"/>
      <c r="T32" s="82" t="s">
        <v>60</v>
      </c>
      <c r="U32" s="84"/>
      <c r="V32" s="46"/>
      <c r="W32" s="46"/>
      <c r="X32" s="47"/>
      <c r="Y32" s="81"/>
      <c r="Z32" s="78" t="s">
        <v>60</v>
      </c>
      <c r="AA32" s="85"/>
      <c r="AB32" s="86" t="s">
        <v>60</v>
      </c>
      <c r="AC32" s="87"/>
      <c r="AD32" s="88"/>
    </row>
    <row r="33" spans="2:31" ht="20.25" customHeight="1">
      <c r="B33" s="89">
        <f>B27+B29+B31</f>
        <v>1085</v>
      </c>
      <c r="C33" s="15"/>
      <c r="D33" s="90">
        <f>D27+D29+D31</f>
        <v>5311</v>
      </c>
      <c r="F33" s="89">
        <f>F27+F29+F31</f>
        <v>1202</v>
      </c>
      <c r="G33" s="15"/>
      <c r="H33" s="91">
        <f>H27+H29+H31</f>
        <v>5617</v>
      </c>
      <c r="I33" s="51"/>
      <c r="J33" s="45"/>
      <c r="K33" s="45"/>
      <c r="L33" s="57"/>
      <c r="N33" s="89">
        <f>N27+N29+N31</f>
        <v>266</v>
      </c>
      <c r="O33" s="15"/>
      <c r="P33" s="90">
        <f>P27+P29+P31</f>
        <v>1320</v>
      </c>
      <c r="R33" s="89">
        <f>R27+R29+R31</f>
        <v>53</v>
      </c>
      <c r="S33" s="15"/>
      <c r="T33" s="91">
        <f>T27+T29+T31</f>
        <v>259</v>
      </c>
      <c r="U33" s="40"/>
      <c r="V33" s="46"/>
      <c r="W33" s="46"/>
      <c r="X33" s="47"/>
      <c r="Z33" s="92">
        <f>Z31+Z29+Z27</f>
        <v>631</v>
      </c>
      <c r="AA33" s="68"/>
      <c r="AB33" s="93">
        <f>AB31+AB29+AB27</f>
        <v>3124</v>
      </c>
      <c r="AC33" s="70"/>
      <c r="AD33" s="63"/>
    </row>
    <row r="34" spans="2:31" ht="10.5" customHeight="1">
      <c r="B34" s="58"/>
      <c r="C34" s="18"/>
      <c r="D34" s="20"/>
      <c r="F34" s="58"/>
      <c r="G34" s="18"/>
      <c r="H34" s="18"/>
      <c r="I34" s="51"/>
      <c r="J34" s="45"/>
      <c r="K34" s="45"/>
      <c r="L34" s="57"/>
      <c r="N34" s="58"/>
      <c r="O34" s="18"/>
      <c r="P34" s="20"/>
      <c r="R34" s="58"/>
      <c r="S34" s="18"/>
      <c r="T34" s="18"/>
      <c r="U34" s="39"/>
      <c r="V34" s="46"/>
      <c r="W34" s="46"/>
      <c r="X34" s="47"/>
      <c r="Z34" s="94"/>
      <c r="AA34" s="23"/>
      <c r="AB34" s="23"/>
      <c r="AC34" s="62"/>
      <c r="AD34" s="63"/>
    </row>
    <row r="35" spans="2:31" ht="20.25" customHeight="1">
      <c r="B35" s="95" t="s">
        <v>30</v>
      </c>
      <c r="C35" s="96"/>
      <c r="D35" s="97"/>
      <c r="F35" s="95" t="s">
        <v>30</v>
      </c>
      <c r="G35" s="96"/>
      <c r="H35" s="96"/>
      <c r="I35" s="98"/>
      <c r="J35" s="45"/>
      <c r="K35" s="45"/>
      <c r="L35" s="57"/>
      <c r="N35" s="95" t="s">
        <v>30</v>
      </c>
      <c r="O35" s="96"/>
      <c r="P35" s="97"/>
      <c r="R35" s="95" t="s">
        <v>30</v>
      </c>
      <c r="S35" s="96"/>
      <c r="T35" s="96"/>
      <c r="U35" s="98"/>
      <c r="V35" s="46"/>
      <c r="W35" s="46"/>
      <c r="X35" s="47"/>
      <c r="Z35" s="99" t="s">
        <v>19</v>
      </c>
      <c r="AA35" s="100"/>
      <c r="AB35" s="100"/>
      <c r="AC35" s="101"/>
      <c r="AD35" s="102"/>
    </row>
    <row r="36" spans="2:31" ht="20.25" customHeight="1" thickBot="1">
      <c r="B36" s="103">
        <f>B14+D33</f>
        <v>32781</v>
      </c>
      <c r="C36" s="104"/>
      <c r="D36" s="105"/>
      <c r="F36" s="103">
        <f>F14+H33</f>
        <v>41617</v>
      </c>
      <c r="G36" s="104"/>
      <c r="H36" s="104"/>
      <c r="I36" s="106"/>
      <c r="J36" s="107"/>
      <c r="K36" s="107"/>
      <c r="L36" s="108"/>
      <c r="N36" s="103">
        <f>N14+P33</f>
        <v>7320</v>
      </c>
      <c r="O36" s="104"/>
      <c r="P36" s="105"/>
      <c r="R36" s="103">
        <f>R14+T33</f>
        <v>6259</v>
      </c>
      <c r="S36" s="104"/>
      <c r="T36" s="104"/>
      <c r="U36" s="106"/>
      <c r="V36" s="109"/>
      <c r="W36" s="109"/>
      <c r="X36" s="110"/>
      <c r="Z36" s="111">
        <f>AB33+($AB$14*$AD$14)</f>
        <v>14104</v>
      </c>
      <c r="AA36" s="112"/>
      <c r="AB36" s="112"/>
      <c r="AC36" s="113"/>
      <c r="AD36" s="114"/>
    </row>
    <row r="37" spans="2:31" ht="12" customHeight="1">
      <c r="U37" s="59"/>
      <c r="V37" s="59"/>
      <c r="W37" s="59"/>
      <c r="X37" s="59"/>
      <c r="Z37" s="116"/>
      <c r="AA37" s="116"/>
      <c r="AB37" s="116"/>
      <c r="AC37" s="116"/>
      <c r="AD37" s="117"/>
    </row>
    <row r="38" spans="2:31" ht="8.25" customHeight="1">
      <c r="Z38" s="118"/>
      <c r="AA38" s="118"/>
      <c r="AB38" s="118"/>
      <c r="AC38" s="118"/>
      <c r="AD38" s="119"/>
      <c r="AE38" s="118"/>
    </row>
  </sheetData>
  <sheetProtection password="EB4F" sheet="1" formatCells="0" formatColumns="0" formatRows="0" insertColumns="0" insertRows="0" insertHyperlinks="0" deleteColumns="0" deleteRows="0" sort="0" autoFilter="0" pivotTables="0"/>
  <mergeCells count="36">
    <mergeCell ref="J21:L21"/>
    <mergeCell ref="N23:P23"/>
    <mergeCell ref="R23:T23"/>
    <mergeCell ref="N35:P35"/>
    <mergeCell ref="R35:T35"/>
    <mergeCell ref="N36:P36"/>
    <mergeCell ref="R36:T36"/>
    <mergeCell ref="N17:P17"/>
    <mergeCell ref="R17:T17"/>
    <mergeCell ref="N19:P19"/>
    <mergeCell ref="R19:T19"/>
    <mergeCell ref="N21:P21"/>
    <mergeCell ref="R21:T21"/>
    <mergeCell ref="B36:D36"/>
    <mergeCell ref="B35:D35"/>
    <mergeCell ref="F19:H19"/>
    <mergeCell ref="F21:H21"/>
    <mergeCell ref="F35:H35"/>
    <mergeCell ref="B23:D23"/>
    <mergeCell ref="F23:H23"/>
    <mergeCell ref="I2:P2"/>
    <mergeCell ref="Z36:AB36"/>
    <mergeCell ref="Z23:AD23"/>
    <mergeCell ref="J5:K5"/>
    <mergeCell ref="J7:K7"/>
    <mergeCell ref="J9:K9"/>
    <mergeCell ref="R4:T4"/>
    <mergeCell ref="J23:L36"/>
    <mergeCell ref="V21:X36"/>
    <mergeCell ref="H4:P4"/>
    <mergeCell ref="F17:H17"/>
    <mergeCell ref="B4:F4"/>
    <mergeCell ref="F36:H36"/>
    <mergeCell ref="B19:D19"/>
    <mergeCell ref="B21:D21"/>
    <mergeCell ref="B17:D17"/>
  </mergeCells>
  <phoneticPr fontId="2" type="noConversion"/>
  <conditionalFormatting sqref="K19">
    <cfRule type="cellIs" dxfId="7" priority="6" operator="lessThan">
      <formula>0</formula>
    </cfRule>
  </conditionalFormatting>
  <conditionalFormatting sqref="W19">
    <cfRule type="cellIs" dxfId="6" priority="3" operator="lessThan">
      <formula>0</formula>
    </cfRule>
  </conditionalFormatting>
  <conditionalFormatting sqref="B14">
    <cfRule type="cellIs" dxfId="5" priority="2" operator="lessThan">
      <formula>27470</formula>
    </cfRule>
  </conditionalFormatting>
  <conditionalFormatting sqref="F14">
    <cfRule type="cellIs" dxfId="4" priority="1" operator="lessThan">
      <formula>27470</formula>
    </cfRule>
  </conditionalFormatting>
  <pageMargins left="0.7" right="0.7" top="0.75" bottom="0.75" header="0.3" footer="0.3"/>
  <pageSetup paperSize="9" scale="51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11D8399-2AD0-4696-9B8D-C75FFA5DEEA5}">
          <x14:formula1>
            <xm:f>選項!$A$1:$A$2</xm:f>
          </x14:formula1>
          <xm:sqref>D14 H14 Z17 P14 T14:U14</xm:sqref>
        </x14:dataValidation>
        <x14:dataValidation type="list" allowBlank="1" showInputMessage="1" showErrorMessage="1" xr:uid="{54CD064D-A679-4625-ABA9-650AE9D6375A}">
          <x14:formula1>
            <xm:f>選項!$B$1:$B$2</xm:f>
          </x14:formula1>
          <xm:sqref>Z14</xm:sqref>
        </x14:dataValidation>
        <x14:dataValidation type="list" allowBlank="1" showInputMessage="1" showErrorMessage="1" xr:uid="{D179995E-DA9D-4793-99F8-21FD71E68951}">
          <x14:formula1>
            <xm:f>選項!$C$1:$C$12</xm:f>
          </x14:formula1>
          <xm:sqref>K14 W14</xm:sqref>
        </x14:dataValidation>
        <x14:dataValidation type="list" allowBlank="1" showInputMessage="1" showErrorMessage="1" xr:uid="{03E79378-3603-4C57-94FE-1FD76FD1D75B}">
          <x14:formula1>
            <xm:f>選項!$D$1:$D$31</xm:f>
          </x14:formula1>
          <xm:sqref>L14 L16 X14 X16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2"/>
  <sheetViews>
    <sheetView workbookViewId="0">
      <selection activeCell="O15" sqref="O15"/>
    </sheetView>
  </sheetViews>
  <sheetFormatPr defaultRowHeight="16.5"/>
  <cols>
    <col min="1" max="1" width="4.375" style="1" customWidth="1"/>
    <col min="2" max="5" width="10.875" style="11" bestFit="1" customWidth="1"/>
    <col min="6" max="6" width="9.75" style="7" bestFit="1" customWidth="1"/>
    <col min="7" max="7" width="9" style="6"/>
    <col min="8" max="8" width="9.75" style="5" bestFit="1" customWidth="1"/>
  </cols>
  <sheetData>
    <row r="1" spans="1:8" ht="18">
      <c r="B1" s="13" t="s">
        <v>63</v>
      </c>
      <c r="C1" s="13" t="s">
        <v>64</v>
      </c>
      <c r="D1" s="13" t="s">
        <v>65</v>
      </c>
      <c r="E1" s="13" t="s">
        <v>66</v>
      </c>
      <c r="F1" s="4"/>
      <c r="G1" s="3"/>
      <c r="H1" s="2"/>
    </row>
    <row r="2" spans="1:8">
      <c r="A2" s="1">
        <v>1</v>
      </c>
      <c r="B2" s="11">
        <v>45800</v>
      </c>
      <c r="C2" s="11">
        <v>219500</v>
      </c>
      <c r="D2" s="11">
        <v>150000</v>
      </c>
      <c r="E2" s="11">
        <v>72800</v>
      </c>
    </row>
    <row r="3" spans="1:8">
      <c r="A3" s="1">
        <v>2</v>
      </c>
      <c r="B3" s="11">
        <v>43900</v>
      </c>
      <c r="C3" s="11">
        <v>212000</v>
      </c>
      <c r="D3" s="11">
        <v>147900</v>
      </c>
      <c r="E3" s="11">
        <v>69800</v>
      </c>
    </row>
    <row r="4" spans="1:8">
      <c r="A4" s="1">
        <v>3</v>
      </c>
      <c r="B4" s="11">
        <v>42000</v>
      </c>
      <c r="C4" s="11">
        <v>204500</v>
      </c>
      <c r="D4" s="11">
        <v>142500</v>
      </c>
      <c r="E4" s="11">
        <v>66800</v>
      </c>
    </row>
    <row r="5" spans="1:8">
      <c r="A5" s="1">
        <v>4</v>
      </c>
      <c r="B5" s="11">
        <v>40100</v>
      </c>
      <c r="C5" s="11">
        <v>197000</v>
      </c>
      <c r="D5" s="11">
        <v>137100</v>
      </c>
      <c r="E5" s="11">
        <v>63800</v>
      </c>
    </row>
    <row r="6" spans="1:8">
      <c r="A6" s="1">
        <v>5</v>
      </c>
      <c r="B6" s="11">
        <v>38200</v>
      </c>
      <c r="C6" s="11">
        <v>189500</v>
      </c>
      <c r="D6" s="11">
        <v>131700</v>
      </c>
      <c r="E6" s="11">
        <v>60800</v>
      </c>
    </row>
    <row r="7" spans="1:8">
      <c r="A7" s="1">
        <v>6</v>
      </c>
      <c r="B7" s="11">
        <v>36300</v>
      </c>
      <c r="C7" s="11">
        <v>182000</v>
      </c>
      <c r="D7" s="11">
        <v>126300</v>
      </c>
      <c r="E7" s="11">
        <v>57800</v>
      </c>
    </row>
    <row r="8" spans="1:8">
      <c r="A8" s="1">
        <v>7</v>
      </c>
      <c r="B8" s="11">
        <v>34800</v>
      </c>
      <c r="C8" s="11">
        <v>175600</v>
      </c>
      <c r="D8" s="11">
        <v>120900</v>
      </c>
      <c r="E8" s="11">
        <v>55400</v>
      </c>
    </row>
    <row r="9" spans="1:8">
      <c r="A9" s="1">
        <v>8</v>
      </c>
      <c r="B9" s="11">
        <v>33300</v>
      </c>
      <c r="C9" s="11">
        <v>169200</v>
      </c>
      <c r="D9" s="11">
        <v>115500</v>
      </c>
      <c r="E9" s="11">
        <v>53000</v>
      </c>
    </row>
    <row r="10" spans="1:8">
      <c r="A10" s="1">
        <v>9</v>
      </c>
      <c r="B10" s="11">
        <v>31800</v>
      </c>
      <c r="C10" s="11">
        <v>162800</v>
      </c>
      <c r="D10" s="11">
        <v>110100</v>
      </c>
      <c r="E10" s="11">
        <v>50600</v>
      </c>
    </row>
    <row r="11" spans="1:8">
      <c r="A11" s="1">
        <v>10</v>
      </c>
      <c r="B11" s="11">
        <v>30300</v>
      </c>
      <c r="C11" s="11">
        <v>156400</v>
      </c>
      <c r="D11" s="11">
        <v>105600</v>
      </c>
      <c r="E11" s="11">
        <v>48200</v>
      </c>
    </row>
    <row r="12" spans="1:8">
      <c r="A12" s="1">
        <v>11</v>
      </c>
      <c r="B12" s="11">
        <v>28800</v>
      </c>
      <c r="C12" s="11">
        <v>150000</v>
      </c>
      <c r="D12" s="11">
        <v>101100</v>
      </c>
      <c r="E12" s="11">
        <v>45800</v>
      </c>
    </row>
    <row r="13" spans="1:8">
      <c r="A13" s="1">
        <v>12</v>
      </c>
      <c r="B13" s="11">
        <v>27600</v>
      </c>
      <c r="C13" s="11">
        <v>147900</v>
      </c>
      <c r="D13" s="11">
        <v>96600</v>
      </c>
      <c r="E13" s="11">
        <v>43900</v>
      </c>
    </row>
    <row r="14" spans="1:8">
      <c r="A14" s="1">
        <v>13</v>
      </c>
      <c r="B14" s="11">
        <v>27470</v>
      </c>
      <c r="C14" s="11">
        <v>142500</v>
      </c>
      <c r="D14" s="11">
        <v>92100</v>
      </c>
      <c r="E14" s="11">
        <v>42000</v>
      </c>
    </row>
    <row r="15" spans="1:8">
      <c r="A15" s="1">
        <v>14</v>
      </c>
      <c r="B15" s="11">
        <v>26400</v>
      </c>
      <c r="C15" s="11">
        <v>137100</v>
      </c>
      <c r="D15" s="11">
        <v>87600</v>
      </c>
      <c r="E15" s="11">
        <v>40100</v>
      </c>
    </row>
    <row r="16" spans="1:8">
      <c r="A16" s="1">
        <v>15</v>
      </c>
      <c r="B16" s="11">
        <v>25250</v>
      </c>
      <c r="C16" s="11">
        <v>131700</v>
      </c>
      <c r="D16" s="11">
        <v>83900</v>
      </c>
      <c r="E16" s="11">
        <v>38200</v>
      </c>
    </row>
    <row r="17" spans="1:8">
      <c r="A17" s="1">
        <v>16</v>
      </c>
      <c r="B17" s="11">
        <v>24000</v>
      </c>
      <c r="C17" s="11">
        <v>126300</v>
      </c>
      <c r="D17" s="11">
        <v>80200</v>
      </c>
      <c r="E17" s="11">
        <v>36300</v>
      </c>
    </row>
    <row r="18" spans="1:8">
      <c r="A18" s="1">
        <v>17</v>
      </c>
      <c r="B18" s="12">
        <v>23100</v>
      </c>
      <c r="C18" s="12">
        <v>120900</v>
      </c>
      <c r="D18" s="12">
        <v>76500</v>
      </c>
      <c r="E18" s="12">
        <v>34800</v>
      </c>
      <c r="G18" s="9"/>
      <c r="H18" s="8"/>
    </row>
    <row r="19" spans="1:8">
      <c r="A19" s="1">
        <v>18</v>
      </c>
      <c r="B19" s="11">
        <v>22000</v>
      </c>
      <c r="C19" s="11">
        <v>115500</v>
      </c>
      <c r="D19" s="11">
        <v>72800</v>
      </c>
      <c r="E19" s="11">
        <v>33300</v>
      </c>
    </row>
    <row r="20" spans="1:8">
      <c r="A20" s="1">
        <v>19</v>
      </c>
      <c r="B20" s="11">
        <v>21009</v>
      </c>
      <c r="C20" s="11">
        <v>110100</v>
      </c>
      <c r="D20" s="11">
        <v>69800</v>
      </c>
      <c r="E20" s="11">
        <v>31800</v>
      </c>
    </row>
    <row r="21" spans="1:8">
      <c r="A21" s="1">
        <v>20</v>
      </c>
      <c r="B21" s="11">
        <v>20008</v>
      </c>
      <c r="C21" s="11">
        <v>105600</v>
      </c>
      <c r="D21" s="11">
        <v>66800</v>
      </c>
      <c r="E21" s="11">
        <v>30300</v>
      </c>
    </row>
    <row r="22" spans="1:8">
      <c r="A22" s="1">
        <v>21</v>
      </c>
      <c r="B22" s="11">
        <v>19047</v>
      </c>
      <c r="C22" s="11">
        <v>101100</v>
      </c>
      <c r="D22" s="11">
        <v>63800</v>
      </c>
      <c r="E22" s="11">
        <v>28800</v>
      </c>
    </row>
    <row r="23" spans="1:8">
      <c r="A23" s="1">
        <v>22</v>
      </c>
      <c r="B23" s="11">
        <v>17880</v>
      </c>
      <c r="C23" s="11">
        <v>96600</v>
      </c>
      <c r="D23" s="11">
        <v>60800</v>
      </c>
      <c r="E23" s="11">
        <v>27600</v>
      </c>
    </row>
    <row r="24" spans="1:8">
      <c r="A24" s="1">
        <v>23</v>
      </c>
      <c r="B24" s="11">
        <v>17280</v>
      </c>
      <c r="C24" s="11">
        <v>92100</v>
      </c>
      <c r="D24" s="11">
        <v>57800</v>
      </c>
      <c r="E24" s="11">
        <v>27470</v>
      </c>
    </row>
    <row r="25" spans="1:8">
      <c r="A25" s="1">
        <v>24</v>
      </c>
      <c r="B25" s="11">
        <v>16500</v>
      </c>
      <c r="C25" s="11">
        <v>87600</v>
      </c>
      <c r="D25" s="11">
        <v>55400</v>
      </c>
    </row>
    <row r="26" spans="1:8">
      <c r="A26" s="1">
        <v>25</v>
      </c>
      <c r="B26" s="11">
        <v>15840</v>
      </c>
      <c r="C26" s="11">
        <v>83900</v>
      </c>
      <c r="D26" s="11">
        <v>53000</v>
      </c>
    </row>
    <row r="27" spans="1:8">
      <c r="A27" s="1">
        <v>26</v>
      </c>
      <c r="B27" s="11">
        <v>13500</v>
      </c>
      <c r="C27" s="11">
        <v>80200</v>
      </c>
      <c r="D27" s="11">
        <v>50600</v>
      </c>
    </row>
    <row r="28" spans="1:8">
      <c r="A28" s="1">
        <v>27</v>
      </c>
      <c r="B28" s="11">
        <v>12540</v>
      </c>
      <c r="C28" s="11">
        <v>76500</v>
      </c>
      <c r="D28" s="11">
        <v>48200</v>
      </c>
    </row>
    <row r="29" spans="1:8">
      <c r="A29" s="1">
        <v>28</v>
      </c>
      <c r="B29" s="11">
        <v>11100</v>
      </c>
      <c r="C29" s="11">
        <v>72800</v>
      </c>
      <c r="D29" s="11">
        <v>45800</v>
      </c>
    </row>
    <row r="30" spans="1:8">
      <c r="A30" s="1">
        <v>29</v>
      </c>
      <c r="C30" s="11">
        <v>69800</v>
      </c>
      <c r="D30" s="11">
        <v>43900</v>
      </c>
    </row>
    <row r="31" spans="1:8">
      <c r="A31" s="1">
        <v>30</v>
      </c>
      <c r="C31" s="11">
        <v>66800</v>
      </c>
      <c r="D31" s="11">
        <v>42000</v>
      </c>
    </row>
    <row r="32" spans="1:8">
      <c r="A32" s="1">
        <v>31</v>
      </c>
      <c r="C32" s="11">
        <v>63800</v>
      </c>
      <c r="D32" s="11">
        <v>40100</v>
      </c>
    </row>
    <row r="33" spans="1:7">
      <c r="A33" s="1">
        <v>32</v>
      </c>
      <c r="C33" s="11">
        <v>60800</v>
      </c>
      <c r="D33" s="11">
        <v>38200</v>
      </c>
    </row>
    <row r="34" spans="1:7">
      <c r="A34" s="1">
        <v>33</v>
      </c>
      <c r="C34" s="11">
        <v>57800</v>
      </c>
      <c r="D34" s="11">
        <v>36300</v>
      </c>
    </row>
    <row r="35" spans="1:7">
      <c r="A35" s="1">
        <v>34</v>
      </c>
      <c r="C35" s="11">
        <v>55400</v>
      </c>
      <c r="D35" s="11">
        <v>34800</v>
      </c>
    </row>
    <row r="36" spans="1:7">
      <c r="A36" s="1">
        <v>35</v>
      </c>
      <c r="C36" s="11">
        <v>53000</v>
      </c>
      <c r="D36" s="11">
        <v>33300</v>
      </c>
    </row>
    <row r="37" spans="1:7">
      <c r="A37" s="1">
        <v>36</v>
      </c>
      <c r="C37" s="11">
        <v>50600</v>
      </c>
      <c r="D37" s="11">
        <v>31800</v>
      </c>
    </row>
    <row r="38" spans="1:7">
      <c r="A38" s="1">
        <v>37</v>
      </c>
      <c r="C38" s="11">
        <v>48200</v>
      </c>
      <c r="D38" s="11">
        <v>30300</v>
      </c>
    </row>
    <row r="39" spans="1:7">
      <c r="A39" s="1">
        <v>38</v>
      </c>
      <c r="C39" s="11">
        <v>45800</v>
      </c>
      <c r="D39" s="11">
        <v>28800</v>
      </c>
    </row>
    <row r="40" spans="1:7">
      <c r="A40" s="1">
        <v>39</v>
      </c>
      <c r="C40" s="11">
        <v>43900</v>
      </c>
      <c r="D40" s="11">
        <v>27600</v>
      </c>
    </row>
    <row r="41" spans="1:7">
      <c r="A41" s="1">
        <v>40</v>
      </c>
      <c r="C41" s="11">
        <v>42000</v>
      </c>
      <c r="D41" s="11">
        <v>27470</v>
      </c>
    </row>
    <row r="42" spans="1:7">
      <c r="A42" s="1">
        <v>41</v>
      </c>
      <c r="C42" s="11">
        <v>40100</v>
      </c>
      <c r="D42" s="11">
        <v>26400</v>
      </c>
    </row>
    <row r="43" spans="1:7">
      <c r="A43" s="1">
        <v>42</v>
      </c>
      <c r="C43" s="11">
        <v>38200</v>
      </c>
      <c r="D43" s="11">
        <v>25250</v>
      </c>
    </row>
    <row r="44" spans="1:7">
      <c r="A44" s="1">
        <v>43</v>
      </c>
      <c r="C44" s="11">
        <v>36300</v>
      </c>
      <c r="D44" s="11">
        <v>24000</v>
      </c>
    </row>
    <row r="45" spans="1:7">
      <c r="A45" s="1">
        <v>44</v>
      </c>
      <c r="C45" s="11">
        <v>34800</v>
      </c>
      <c r="D45" s="11">
        <v>23100</v>
      </c>
      <c r="G45" s="10"/>
    </row>
    <row r="46" spans="1:7">
      <c r="A46" s="1">
        <v>45</v>
      </c>
      <c r="C46" s="11">
        <v>33300</v>
      </c>
      <c r="D46" s="11">
        <v>22000</v>
      </c>
      <c r="G46" s="10"/>
    </row>
    <row r="47" spans="1:7">
      <c r="A47" s="1">
        <v>46</v>
      </c>
      <c r="C47" s="11">
        <v>31800</v>
      </c>
      <c r="D47" s="11">
        <v>21009</v>
      </c>
      <c r="G47" s="10"/>
    </row>
    <row r="48" spans="1:7">
      <c r="A48" s="1">
        <v>47</v>
      </c>
      <c r="C48" s="11">
        <v>30300</v>
      </c>
      <c r="D48" s="11">
        <v>20008</v>
      </c>
      <c r="G48" s="10"/>
    </row>
    <row r="49" spans="1:7">
      <c r="A49" s="1">
        <v>48</v>
      </c>
      <c r="C49" s="11">
        <v>28800</v>
      </c>
      <c r="D49" s="11">
        <v>19047</v>
      </c>
      <c r="G49" s="10"/>
    </row>
    <row r="50" spans="1:7">
      <c r="A50" s="1">
        <v>49</v>
      </c>
      <c r="C50" s="11">
        <v>27600</v>
      </c>
      <c r="D50" s="11">
        <v>17880</v>
      </c>
      <c r="G50" s="10"/>
    </row>
    <row r="51" spans="1:7">
      <c r="A51" s="1">
        <v>50</v>
      </c>
      <c r="C51" s="11">
        <v>27470</v>
      </c>
      <c r="D51" s="11">
        <v>17280</v>
      </c>
      <c r="G51" s="10"/>
    </row>
    <row r="52" spans="1:7">
      <c r="A52" s="1">
        <v>51</v>
      </c>
      <c r="D52" s="11">
        <v>16500</v>
      </c>
      <c r="G52" s="10"/>
    </row>
    <row r="53" spans="1:7">
      <c r="A53" s="1">
        <v>52</v>
      </c>
      <c r="D53" s="11">
        <v>15840</v>
      </c>
      <c r="G53" s="10"/>
    </row>
    <row r="54" spans="1:7">
      <c r="A54" s="1">
        <v>53</v>
      </c>
      <c r="D54" s="11">
        <v>13500</v>
      </c>
      <c r="G54" s="10"/>
    </row>
    <row r="55" spans="1:7">
      <c r="A55" s="1">
        <v>54</v>
      </c>
      <c r="D55" s="11">
        <v>12540</v>
      </c>
      <c r="G55" s="10"/>
    </row>
    <row r="56" spans="1:7">
      <c r="A56" s="1">
        <v>55</v>
      </c>
      <c r="D56" s="11">
        <v>11100</v>
      </c>
      <c r="G56" s="10"/>
    </row>
    <row r="57" spans="1:7">
      <c r="A57" s="1">
        <v>56</v>
      </c>
      <c r="D57" s="11">
        <v>9900</v>
      </c>
      <c r="G57" s="10"/>
    </row>
    <row r="58" spans="1:7">
      <c r="A58" s="1">
        <v>57</v>
      </c>
      <c r="D58" s="11">
        <v>8700</v>
      </c>
      <c r="G58" s="10"/>
    </row>
    <row r="59" spans="1:7">
      <c r="A59" s="1">
        <v>58</v>
      </c>
      <c r="D59" s="11">
        <v>7500</v>
      </c>
      <c r="G59" s="10"/>
    </row>
    <row r="60" spans="1:7">
      <c r="A60" s="1">
        <v>59</v>
      </c>
      <c r="D60" s="11">
        <v>6000</v>
      </c>
      <c r="G60" s="10"/>
    </row>
    <row r="61" spans="1:7">
      <c r="A61" s="1">
        <v>60</v>
      </c>
      <c r="D61" s="11">
        <v>4500</v>
      </c>
      <c r="G61" s="10"/>
    </row>
    <row r="62" spans="1:7">
      <c r="A62" s="1">
        <v>61</v>
      </c>
      <c r="D62" s="11">
        <v>3000</v>
      </c>
      <c r="G62" s="10"/>
    </row>
    <row r="63" spans="1:7">
      <c r="A63" s="1">
        <v>62</v>
      </c>
      <c r="D63" s="11">
        <v>1500</v>
      </c>
      <c r="G63" s="10"/>
    </row>
    <row r="64" spans="1:7">
      <c r="G64" s="10"/>
    </row>
    <row r="65" spans="7:7">
      <c r="G65" s="10"/>
    </row>
    <row r="66" spans="7:7">
      <c r="G66" s="10"/>
    </row>
    <row r="67" spans="7:7">
      <c r="G67" s="10"/>
    </row>
    <row r="68" spans="7:7">
      <c r="G68" s="10"/>
    </row>
    <row r="69" spans="7:7">
      <c r="G69" s="10"/>
    </row>
    <row r="70" spans="7:7">
      <c r="G70" s="10"/>
    </row>
    <row r="71" spans="7:7">
      <c r="G71" s="10"/>
    </row>
    <row r="72" spans="7:7">
      <c r="G72" s="10"/>
    </row>
  </sheetData>
  <sheetProtection formatCells="0" formatColumns="0" formatRows="0" insertColumns="0" insertRows="0" insertHyperlinks="0" deleteColumns="0" deleteRows="0" sort="0" autoFilter="0" pivotTables="0"/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AD639-BDE1-4B7A-B5DB-C437D4E41207}">
  <dimension ref="A1:D31"/>
  <sheetViews>
    <sheetView workbookViewId="0">
      <selection activeCell="D1" sqref="D1:D31"/>
    </sheetView>
  </sheetViews>
  <sheetFormatPr defaultRowHeight="15.75"/>
  <cols>
    <col min="1" max="1" width="11.625" style="1" bestFit="1" customWidth="1"/>
    <col min="2" max="16384" width="9" style="1"/>
  </cols>
  <sheetData>
    <row r="1" spans="1:4">
      <c r="A1" s="1" t="s">
        <v>0</v>
      </c>
      <c r="B1" s="1" t="s">
        <v>21</v>
      </c>
      <c r="C1" s="1" t="s">
        <v>41</v>
      </c>
      <c r="D1" s="1">
        <v>1</v>
      </c>
    </row>
    <row r="2" spans="1:4">
      <c r="A2" s="1" t="s">
        <v>2</v>
      </c>
      <c r="B2" s="1" t="s">
        <v>22</v>
      </c>
      <c r="C2" s="1" t="s">
        <v>42</v>
      </c>
      <c r="D2" s="1">
        <v>2</v>
      </c>
    </row>
    <row r="3" spans="1:4">
      <c r="C3" s="1" t="s">
        <v>43</v>
      </c>
      <c r="D3" s="1">
        <v>3</v>
      </c>
    </row>
    <row r="4" spans="1:4">
      <c r="C4" s="1" t="s">
        <v>44</v>
      </c>
      <c r="D4" s="1">
        <v>4</v>
      </c>
    </row>
    <row r="5" spans="1:4">
      <c r="C5" s="1" t="s">
        <v>45</v>
      </c>
      <c r="D5" s="1">
        <v>5</v>
      </c>
    </row>
    <row r="6" spans="1:4">
      <c r="C6" s="1" t="s">
        <v>46</v>
      </c>
      <c r="D6" s="1">
        <v>6</v>
      </c>
    </row>
    <row r="7" spans="1:4">
      <c r="C7" s="1" t="s">
        <v>47</v>
      </c>
      <c r="D7" s="1">
        <v>7</v>
      </c>
    </row>
    <row r="8" spans="1:4">
      <c r="C8" s="1" t="s">
        <v>48</v>
      </c>
      <c r="D8" s="1">
        <v>8</v>
      </c>
    </row>
    <row r="9" spans="1:4">
      <c r="C9" s="1" t="s">
        <v>49</v>
      </c>
      <c r="D9" s="1">
        <v>9</v>
      </c>
    </row>
    <row r="10" spans="1:4">
      <c r="C10" s="1" t="s">
        <v>50</v>
      </c>
      <c r="D10" s="1">
        <v>10</v>
      </c>
    </row>
    <row r="11" spans="1:4">
      <c r="C11" s="1" t="s">
        <v>51</v>
      </c>
      <c r="D11" s="1">
        <v>11</v>
      </c>
    </row>
    <row r="12" spans="1:4">
      <c r="C12" s="1" t="s">
        <v>52</v>
      </c>
      <c r="D12" s="1">
        <v>12</v>
      </c>
    </row>
    <row r="13" spans="1:4">
      <c r="D13" s="1">
        <v>13</v>
      </c>
    </row>
    <row r="14" spans="1:4">
      <c r="D14" s="1">
        <v>14</v>
      </c>
    </row>
    <row r="15" spans="1:4">
      <c r="D15" s="1">
        <v>15</v>
      </c>
    </row>
    <row r="16" spans="1:4">
      <c r="D16" s="1">
        <v>16</v>
      </c>
    </row>
    <row r="17" spans="4:4">
      <c r="D17" s="1">
        <v>17</v>
      </c>
    </row>
    <row r="18" spans="4:4">
      <c r="D18" s="1">
        <v>18</v>
      </c>
    </row>
    <row r="19" spans="4:4">
      <c r="D19" s="1">
        <v>19</v>
      </c>
    </row>
    <row r="20" spans="4:4">
      <c r="D20" s="1">
        <v>20</v>
      </c>
    </row>
    <row r="21" spans="4:4">
      <c r="D21" s="1">
        <v>21</v>
      </c>
    </row>
    <row r="22" spans="4:4">
      <c r="D22" s="1">
        <v>22</v>
      </c>
    </row>
    <row r="23" spans="4:4">
      <c r="D23" s="1">
        <v>23</v>
      </c>
    </row>
    <row r="24" spans="4:4">
      <c r="D24" s="1">
        <v>24</v>
      </c>
    </row>
    <row r="25" spans="4:4">
      <c r="D25" s="1">
        <v>25</v>
      </c>
    </row>
    <row r="26" spans="4:4">
      <c r="D26" s="1">
        <v>26</v>
      </c>
    </row>
    <row r="27" spans="4:4">
      <c r="D27" s="1">
        <v>27</v>
      </c>
    </row>
    <row r="28" spans="4:4">
      <c r="D28" s="1">
        <v>28</v>
      </c>
    </row>
    <row r="29" spans="4:4">
      <c r="D29" s="1">
        <v>29</v>
      </c>
    </row>
    <row r="30" spans="4:4">
      <c r="D30" s="1">
        <v>30</v>
      </c>
    </row>
    <row r="31" spans="4:4">
      <c r="D31" s="1">
        <v>31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試算表</vt:lpstr>
      <vt:lpstr>級距表</vt:lpstr>
      <vt:lpstr>選項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ASIA1027</cp:lastModifiedBy>
  <cp:lastPrinted>2022-02-14T07:16:52Z</cp:lastPrinted>
  <dcterms:created xsi:type="dcterms:W3CDTF">2015-08-01T06:18:31Z</dcterms:created>
  <dcterms:modified xsi:type="dcterms:W3CDTF">2023-11-23T01:28:57Z</dcterms:modified>
</cp:coreProperties>
</file>